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80" tabRatio="805" activeTab="0"/>
  </bookViews>
  <sheets>
    <sheet name="Kalkyl-Total" sheetId="1" r:id="rId1"/>
    <sheet name="Kalkyl-Tillval" sheetId="2" r:id="rId2"/>
    <sheet name="Kalkyl-Drift" sheetId="3" r:id="rId3"/>
    <sheet name="Kalkyl-Boende" sheetId="4" r:id="rId4"/>
    <sheet name="Intresseanmälan-Bank" sheetId="5" r:id="rId5"/>
    <sheet name="Blad1" sheetId="6" state="hidden" r:id="rId6"/>
  </sheets>
  <definedNames>
    <definedName name="_xlfn.SINGLE" hidden="1">#NAME?</definedName>
    <definedName name="Handtag1">#REF!</definedName>
    <definedName name="Handtag2">#REF!</definedName>
    <definedName name="Handtag3">#REF!</definedName>
    <definedName name="_xlnm.Print_Area" localSheetId="3">'Kalkyl-Boende'!$A$1:$H$59</definedName>
    <definedName name="_xlnm.Print_Area" localSheetId="2">'Kalkyl-Drift'!$A$1:$I$54</definedName>
    <definedName name="_xlnm.Print_Area" localSheetId="1">'Kalkyl-Tillval'!$A$1:$H$47</definedName>
    <definedName name="_xlnm.Print_Area" localSheetId="0">'Kalkyl-Total'!$A$1:$I$56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36" authorId="0">
      <text>
        <r>
          <rPr>
            <sz val="8"/>
            <color indexed="8"/>
            <rFont val="Times New Roman"/>
            <family val="1"/>
          </rPr>
          <t>Kontrollansvarig bekostas av byggherren</t>
        </r>
      </text>
    </comment>
    <comment ref="E42" authorId="0">
      <text>
        <r>
          <rPr>
            <sz val="8"/>
            <color indexed="8"/>
            <rFont val="Times New Roman"/>
            <family val="1"/>
          </rPr>
          <t>Pantbrevskostnad =
total prod.kostnad minus
kontaninsats</t>
        </r>
      </text>
    </comment>
    <comment ref="E43" authorId="0">
      <text>
        <r>
          <rPr>
            <sz val="8"/>
            <color indexed="8"/>
            <rFont val="Times New Roman"/>
            <family val="1"/>
          </rPr>
          <t>Sätt in rätt kreditivränta
räntekostnad för tomt  i 3 månader och för grund o hus i 2 mån.
Direkt insatt kontant del påverkar kred. räntan</t>
        </r>
      </text>
    </comment>
  </commentList>
</comments>
</file>

<file path=xl/comments4.xml><?xml version="1.0" encoding="utf-8"?>
<comments xmlns="http://schemas.openxmlformats.org/spreadsheetml/2006/main">
  <authors>
    <author/>
    <author>magnus.hoffner</author>
  </authors>
  <commentList>
    <comment ref="A18" authorId="0">
      <text>
        <r>
          <rPr>
            <sz val="8"/>
            <color indexed="8"/>
            <rFont val="Times New Roman"/>
            <family val="1"/>
          </rPr>
          <t xml:space="preserve">Här kan ni lägga in Era olika kommuners kommunalskatt.
</t>
        </r>
      </text>
    </comment>
    <comment ref="C18" authorId="0">
      <text>
        <r>
          <rPr>
            <b/>
            <sz val="8"/>
            <color indexed="8"/>
            <rFont val="Times New Roman"/>
            <family val="1"/>
          </rPr>
          <t xml:space="preserve">Styr driftskostnaden:
</t>
        </r>
        <r>
          <rPr>
            <sz val="8"/>
            <color indexed="8"/>
            <rFont val="Times New Roman"/>
            <family val="1"/>
          </rPr>
          <t xml:space="preserve">BRA upp till 124 kvm  = 18.000 kr
BRA 125 kvm och större= 20.000 kr
</t>
        </r>
        <r>
          <rPr>
            <b/>
            <sz val="8"/>
            <color indexed="8"/>
            <rFont val="Times New Roman"/>
            <family val="1"/>
          </rPr>
          <t xml:space="preserve">Styr även analysen! </t>
        </r>
      </text>
    </comment>
    <comment ref="D32" authorId="0">
      <text>
        <r>
          <rPr>
            <b/>
            <sz val="8"/>
            <color indexed="8"/>
            <rFont val="Times New Roman"/>
            <family val="1"/>
          </rPr>
          <t xml:space="preserve">Ange kreditgivarens belåningsgrad för bottenlån.
</t>
        </r>
      </text>
    </comment>
    <comment ref="H26" authorId="1">
      <text>
        <r>
          <rPr>
            <sz val="8"/>
            <rFont val="Tahoma"/>
            <family val="2"/>
          </rPr>
          <t xml:space="preserve">Fyll i värdet av egen insats, dvs vad kunden sparar på ex. målning, spackling/tapetsering 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E19" authorId="0">
      <text>
        <r>
          <rPr>
            <b/>
            <sz val="8"/>
            <color indexed="8"/>
            <rFont val="Times New Roman"/>
            <family val="1"/>
          </rPr>
          <t xml:space="preserve">Ange kreditgivarens belåningsgrad för bottenlån.
</t>
        </r>
      </text>
    </comment>
  </commentList>
</comments>
</file>

<file path=xl/sharedStrings.xml><?xml version="1.0" encoding="utf-8"?>
<sst xmlns="http://schemas.openxmlformats.org/spreadsheetml/2006/main" count="473" uniqueCount="390">
  <si>
    <t>UNDERLAG FÖR KALKYL</t>
  </si>
  <si>
    <t>Upprättad av</t>
  </si>
  <si>
    <t>Köpare</t>
  </si>
  <si>
    <t>Person nummer</t>
  </si>
  <si>
    <t>Fastighetsbeteckning</t>
  </si>
  <si>
    <t>Datum</t>
  </si>
  <si>
    <t xml:space="preserve">Erica Bernardin           </t>
  </si>
  <si>
    <t xml:space="preserve">                   </t>
  </si>
  <si>
    <t xml:space="preserve">                </t>
  </si>
  <si>
    <t>Hustyp</t>
  </si>
  <si>
    <t>Sidobyggnad</t>
  </si>
  <si>
    <t>Kommun</t>
  </si>
  <si>
    <t xml:space="preserve"> </t>
  </si>
  <si>
    <t xml:space="preserve">Köparens </t>
  </si>
  <si>
    <t>Säljarens pris/</t>
  </si>
  <si>
    <t>Anm/specifikation</t>
  </si>
  <si>
    <t>Kalkyl-</t>
  </si>
  <si>
    <t>KOSTNAD FÖR</t>
  </si>
  <si>
    <t>uppgifter</t>
  </si>
  <si>
    <t>skriftliga anbud</t>
  </si>
  <si>
    <t>(ev detaljer i bilaga)</t>
  </si>
  <si>
    <t>kontroll</t>
  </si>
  <si>
    <t>Hus i utgångsstandard</t>
  </si>
  <si>
    <t>Tillval och utbyten</t>
  </si>
  <si>
    <t>Se tillvalslista</t>
  </si>
  <si>
    <t>SUMMA</t>
  </si>
  <si>
    <t>Delsumma</t>
  </si>
  <si>
    <t>SÄLJARENS ÅTAGANDE</t>
  </si>
  <si>
    <t>Schakt och grund</t>
  </si>
  <si>
    <t>Montering</t>
  </si>
  <si>
    <t>VVS-installation</t>
  </si>
  <si>
    <t>El-installation</t>
  </si>
  <si>
    <t>Golvbeläggning</t>
  </si>
  <si>
    <t>SUMMA TILLKOMM.</t>
  </si>
  <si>
    <t>MATERIAL OCH ARBETE</t>
  </si>
  <si>
    <t>Tomt kostnad.</t>
  </si>
  <si>
    <t>Lagfart</t>
  </si>
  <si>
    <t>Nybyggn. karta,bygglov</t>
  </si>
  <si>
    <t>Grundundersökning</t>
  </si>
  <si>
    <t>Reserv. Berg/fyllnadsmassor</t>
  </si>
  <si>
    <t>Krankostnad</t>
  </si>
  <si>
    <t xml:space="preserve">SUMMA  </t>
  </si>
  <si>
    <t>TOMT OCH AVGIFTER</t>
  </si>
  <si>
    <t>Grund+Hus- kontantinsats</t>
  </si>
  <si>
    <t>Pantbrev och grav.bevis</t>
  </si>
  <si>
    <t>Räntor o bankavg. Rta %</t>
  </si>
  <si>
    <t>Generellberäkning</t>
  </si>
  <si>
    <t>Tomt mm</t>
  </si>
  <si>
    <t>Skattereduc. D:o 30%</t>
  </si>
  <si>
    <t>LÅNEKOSTNADER</t>
  </si>
  <si>
    <t>Uppräkn m h t byggtidp.</t>
  </si>
  <si>
    <t>Konsultkostnader</t>
  </si>
  <si>
    <t>Direkt insatt kapital/kontant del</t>
  </si>
  <si>
    <t>Påverkar kreditivkostnaden</t>
  </si>
  <si>
    <t xml:space="preserve">SUMMA </t>
  </si>
  <si>
    <t>ÖVRIGT</t>
  </si>
  <si>
    <t>TOTALKOSTNAD</t>
  </si>
  <si>
    <t>TOTALT KRONOR</t>
  </si>
  <si>
    <t>SPECIFIKATION ÖVER TILLVAL</t>
  </si>
  <si>
    <t>T I L L V A L</t>
  </si>
  <si>
    <t>TOTALT TILLVAL KRONOR INKL. MERVÄRDESKATT</t>
  </si>
  <si>
    <t>HJÄLP-BERÄKNINGAR SOM EJ SKALL RÖRAS</t>
  </si>
  <si>
    <t>OBS! ENDAST VITA RUTOR SKALL KORRIGERAS VID SKATTEFÖRÄNDRINGAR</t>
  </si>
  <si>
    <t>Försäljningskontor:</t>
  </si>
  <si>
    <t xml:space="preserve">Jönköping            </t>
  </si>
  <si>
    <t xml:space="preserve">Tel: 010-434 15 48            </t>
  </si>
  <si>
    <t xml:space="preserve">Klubbhusgatan 13                          </t>
  </si>
  <si>
    <t xml:space="preserve">Fax:                  </t>
  </si>
  <si>
    <t xml:space="preserve"> Datum</t>
  </si>
  <si>
    <t xml:space="preserve">553 03                  </t>
  </si>
  <si>
    <t xml:space="preserve"> Jönköping                     </t>
  </si>
  <si>
    <t>Köpare nr 1</t>
  </si>
  <si>
    <t>Person nr</t>
  </si>
  <si>
    <t>Ber årslön</t>
  </si>
  <si>
    <t>Bilförmån/år</t>
  </si>
  <si>
    <t>Antal barn</t>
  </si>
  <si>
    <t>Säljare</t>
  </si>
  <si>
    <t>Sjukförsäkr</t>
  </si>
  <si>
    <t>Köpare nr 2</t>
  </si>
  <si>
    <t>Bidrag/år</t>
  </si>
  <si>
    <t>pensionstillsk</t>
  </si>
  <si>
    <t>Prisbasbelopp</t>
  </si>
  <si>
    <t>Inkomstbasbelopp</t>
  </si>
  <si>
    <t>Förutsättningar</t>
  </si>
  <si>
    <t>lön 1</t>
  </si>
  <si>
    <t>Lön 2</t>
  </si>
  <si>
    <t>Fastighet</t>
  </si>
  <si>
    <t>Brytpunkt 20%</t>
  </si>
  <si>
    <t>Taxerad inkomst =TI</t>
  </si>
  <si>
    <t>grundavdr</t>
  </si>
  <si>
    <t xml:space="preserve">Statlig skatt </t>
  </si>
  <si>
    <t>överst inte 0,99 pbb</t>
  </si>
  <si>
    <t>0,423 pbb</t>
  </si>
  <si>
    <t>Komm skatt</t>
  </si>
  <si>
    <t>BRA p</t>
  </si>
  <si>
    <t>Byggår</t>
  </si>
  <si>
    <t>Grundb.besiktn.</t>
  </si>
  <si>
    <t>Minimi skatt</t>
  </si>
  <si>
    <t>mellan 0,99 o 2,72 pbb</t>
  </si>
  <si>
    <t>0,423*pbb + (TI - 0,99pbb)0,2</t>
  </si>
  <si>
    <t>Brytp II i %</t>
  </si>
  <si>
    <t xml:space="preserve">mellan 2,72 3,11 </t>
  </si>
  <si>
    <t>0,77*pbb</t>
  </si>
  <si>
    <t>Brytp II 5%</t>
  </si>
  <si>
    <t>mellan 3,11 o 7,88 pbb</t>
  </si>
  <si>
    <t>0,77pbb-(TI - 3,11pbb)*0,1</t>
  </si>
  <si>
    <t>Lån typ</t>
  </si>
  <si>
    <t>Ränta</t>
  </si>
  <si>
    <t>Amort</t>
  </si>
  <si>
    <t>Bind.tid</t>
  </si>
  <si>
    <t>Byggkostnad</t>
  </si>
  <si>
    <t>Beräkning av Allm pensionsavgift</t>
  </si>
  <si>
    <t>över 7,88 pbb</t>
  </si>
  <si>
    <t>0,293*pbb</t>
  </si>
  <si>
    <t>ant. år</t>
  </si>
  <si>
    <t>Byggherrek. ansl.avg</t>
  </si>
  <si>
    <t>Lön 1</t>
  </si>
  <si>
    <t>Bottenlån 1</t>
  </si>
  <si>
    <t>Tomtkostnad</t>
  </si>
  <si>
    <t>Taxerad inkomst</t>
  </si>
  <si>
    <t>Bottenlån 2</t>
  </si>
  <si>
    <t>Total prodkostn.</t>
  </si>
  <si>
    <t>Allm pensinonsavg  7%</t>
  </si>
  <si>
    <t>Grundavdrag</t>
  </si>
  <si>
    <t>Kontantinsats</t>
  </si>
  <si>
    <t>på 8,07% x höjt basb.</t>
  </si>
  <si>
    <t xml:space="preserve">Tilläggslån  </t>
  </si>
  <si>
    <t>Totalt lånebehov</t>
  </si>
  <si>
    <t>Värdering</t>
  </si>
  <si>
    <t>SAMMANSTÄLLNING FINANSIERING</t>
  </si>
  <si>
    <t>Upptagna lån</t>
  </si>
  <si>
    <t xml:space="preserve">Amort </t>
  </si>
  <si>
    <t>Summa</t>
  </si>
  <si>
    <t>Skatteberäkning</t>
  </si>
  <si>
    <t>köpare 1</t>
  </si>
  <si>
    <t>köpare 2</t>
  </si>
  <si>
    <t>faktor</t>
  </si>
  <si>
    <t>x prisbasb</t>
  </si>
  <si>
    <t>Grundavdrag, beloppsgränser:</t>
  </si>
  <si>
    <t xml:space="preserve">Bottenlån 2  </t>
  </si>
  <si>
    <t>från</t>
  </si>
  <si>
    <t>till</t>
  </si>
  <si>
    <t>Lön</t>
  </si>
  <si>
    <t>Allmänna avdrag</t>
  </si>
  <si>
    <t>Totalt bottenlån andel i % av marknadsvärdet</t>
  </si>
  <si>
    <t>Ev bilförmån besk.bar brutto</t>
  </si>
  <si>
    <t>Tilläggsslån</t>
  </si>
  <si>
    <t>ÖVER</t>
  </si>
  <si>
    <t>Beskattningsbar inkomst</t>
  </si>
  <si>
    <t>Hjälpformler</t>
  </si>
  <si>
    <t>lön 2</t>
  </si>
  <si>
    <t>Total produktionskostnad</t>
  </si>
  <si>
    <t>under 0,91</t>
  </si>
  <si>
    <t>90% av prodkost</t>
  </si>
  <si>
    <t>Kommunal inkomstskatt</t>
  </si>
  <si>
    <t>S:a kronor</t>
  </si>
  <si>
    <t>Statlig inkomst över brytpunkt</t>
  </si>
  <si>
    <t>OBS! ifylles endast vid tomrätt</t>
  </si>
  <si>
    <t>Driftkostnad</t>
  </si>
  <si>
    <t>Investeringslån 1</t>
  </si>
  <si>
    <t xml:space="preserve">Statlig skatt över </t>
  </si>
  <si>
    <t>Tomtpris:</t>
  </si>
  <si>
    <t>Tomrättsavg %</t>
  </si>
  <si>
    <t>Tomträttsavg.</t>
  </si>
  <si>
    <t>75% av prodkostn</t>
  </si>
  <si>
    <t>D:o för tillägg</t>
  </si>
  <si>
    <t>Allmän pensionsavg.</t>
  </si>
  <si>
    <t>Samf./Vägavg.</t>
  </si>
  <si>
    <t>Skattered pens.avg</t>
  </si>
  <si>
    <t>Brutto kr</t>
  </si>
  <si>
    <t>Tillkommer för jobbavdrag</t>
  </si>
  <si>
    <t>Beräkning av Jobb avdrag</t>
  </si>
  <si>
    <t>År</t>
  </si>
  <si>
    <t>Pbb</t>
  </si>
  <si>
    <t>Skatte reduc</t>
  </si>
  <si>
    <t>TILLFÄLLIG SKATTEREDUKTION</t>
  </si>
  <si>
    <t>Slutlig skatt</t>
  </si>
  <si>
    <t>Netto kr</t>
  </si>
  <si>
    <t>Investeringslån</t>
  </si>
  <si>
    <t xml:space="preserve">Arbetsink köpare 1 </t>
  </si>
  <si>
    <t>Beräkning av barnbidrag</t>
  </si>
  <si>
    <t>Kvar efter skatt</t>
  </si>
  <si>
    <t>Jobbavdrag</t>
  </si>
  <si>
    <t>Gränsvärde</t>
  </si>
  <si>
    <t>per mån</t>
  </si>
  <si>
    <t>per år</t>
  </si>
  <si>
    <t>Månadskostnad inkl. drift och amortering</t>
  </si>
  <si>
    <t>Brutto</t>
  </si>
  <si>
    <t>BKN garanti</t>
  </si>
  <si>
    <t>Skattereduc.i %</t>
  </si>
  <si>
    <t>Slutligt kvar efter skatt</t>
  </si>
  <si>
    <t>Netto</t>
  </si>
  <si>
    <t>Maximal skattereduk.</t>
  </si>
  <si>
    <t>vid 2 barn</t>
  </si>
  <si>
    <t>Boendekostnad netto efter skatt</t>
  </si>
  <si>
    <t>Varav amortering  -  eget sparande  -  per månad</t>
  </si>
  <si>
    <t>Tillfällig skatte redukt</t>
  </si>
  <si>
    <t>Vid 3 barn</t>
  </si>
  <si>
    <t>Tillkommer barnbidrag</t>
  </si>
  <si>
    <t>Kvar att leva på efter skatt, barnbid. och bokostn/mån</t>
  </si>
  <si>
    <t>Bidragsundel.</t>
  </si>
  <si>
    <t>Arbetsink köpare 2</t>
  </si>
  <si>
    <t>vid 4 barn</t>
  </si>
  <si>
    <t>Ev övriga obeskattade bidrag</t>
  </si>
  <si>
    <t>vid 5 barn</t>
  </si>
  <si>
    <t>Kvar att leva på</t>
  </si>
  <si>
    <t>Anmärkning:</t>
  </si>
  <si>
    <t>Skatteberäkning har gjorts med grundavdrag och eventuell bilförmån.</t>
  </si>
  <si>
    <t>Skattereduk.i %</t>
  </si>
  <si>
    <t>mer än 5 barn</t>
  </si>
  <si>
    <t>D:o per månad</t>
  </si>
  <si>
    <t>20% statlig skatt  samt 5% värnskatt från från resp. brytpunkt.</t>
  </si>
  <si>
    <t xml:space="preserve">Allmän pensionsavgift: </t>
  </si>
  <si>
    <t>7% ( med maxbelopp räknat på 8,07% av förhöjt basbelopp.)</t>
  </si>
  <si>
    <t xml:space="preserve">Tillfällig skattereduk </t>
  </si>
  <si>
    <t>ANALYS AV BOENDEKOSTNADER FÖR DE SEX FÖRSTA ÅREN</t>
  </si>
  <si>
    <t>Köpare 1:</t>
  </si>
  <si>
    <t>Fastighet:</t>
  </si>
  <si>
    <t>Byggår:</t>
  </si>
  <si>
    <t>Köpare 2:</t>
  </si>
  <si>
    <t>Kommun:</t>
  </si>
  <si>
    <t>Grundb.bes.</t>
  </si>
  <si>
    <t>Säljare:</t>
  </si>
  <si>
    <t>Uppskattat taxvärde:</t>
  </si>
  <si>
    <t>Hustyp:</t>
  </si>
  <si>
    <t>Anmärkning: Amorteringen har antagits lika under de 6 första åren</t>
  </si>
  <si>
    <t>Sidobyggnad:</t>
  </si>
  <si>
    <t>även om serielån ger en något ökande amortering.</t>
  </si>
  <si>
    <t>PK/m2 BRAp:</t>
  </si>
  <si>
    <t>(endast byggkostn inkl moms)</t>
  </si>
  <si>
    <t>Fastighetsskatt:1,5 %</t>
  </si>
  <si>
    <t>Prognos för boendekostnader  år 1 - 6</t>
  </si>
  <si>
    <t>Amortering</t>
  </si>
  <si>
    <t>Räntor</t>
  </si>
  <si>
    <t>Driftkostn.</t>
  </si>
  <si>
    <t>Hjälptabell lön</t>
  </si>
  <si>
    <t>ökning i %</t>
  </si>
  <si>
    <t>Fast.skatt</t>
  </si>
  <si>
    <t>Skatteredukt.</t>
  </si>
  <si>
    <t>år 1</t>
  </si>
  <si>
    <t>Årskostnad</t>
  </si>
  <si>
    <t>Månadskostn</t>
  </si>
  <si>
    <t xml:space="preserve">Förändr/mån. </t>
  </si>
  <si>
    <t>Bokost % lön</t>
  </si>
  <si>
    <t>Beräknad löneökn./år</t>
  </si>
  <si>
    <t>Beräknad ökn. av driftkostn/år.</t>
  </si>
  <si>
    <t>Anm. Bottenlån omplaceras efter fem år.</t>
  </si>
  <si>
    <t>Fastighetsskatt tillkommer fr.o.m. år sex och har beräknats på 75% av produktionskostnaden.</t>
  </si>
  <si>
    <t>De första 5 åren utgår ingen fastighetsskatt, under år 6-10 utgår halv fastighetsskatt och därefter hel.</t>
  </si>
  <si>
    <t>Fastighetsbeteckning och kommun</t>
  </si>
  <si>
    <t xml:space="preserve">Förutsättning för beräkningen är en familj med 2 vuxna </t>
  </si>
  <si>
    <t>och med 2 barn i skolåldern</t>
  </si>
  <si>
    <t>Vattenförbrukning per år  prel.</t>
  </si>
  <si>
    <t>antal m3</t>
  </si>
  <si>
    <t>kostn /m3</t>
  </si>
  <si>
    <t>Totalt</t>
  </si>
  <si>
    <t>Elförbrukning per år prel. beräkn.</t>
  </si>
  <si>
    <t>antal Kwh</t>
  </si>
  <si>
    <t>kostn/Kwh</t>
  </si>
  <si>
    <t>Hushålls-El per år prel. beräkn. antal KWh</t>
  </si>
  <si>
    <t>Ev annan uppvärmning, Olja gas, fjärrvärme el. dyl.</t>
  </si>
  <si>
    <t>Sophämtning per år</t>
  </si>
  <si>
    <t>Försäkring (dock ej lösöre) per år</t>
  </si>
  <si>
    <t>Underhålls- och reparationskostnader (inga kostnader under de första åren)</t>
  </si>
  <si>
    <t>Totalt uppskattad driftkostnad per år, kronor</t>
  </si>
  <si>
    <t>Beräknad driftkostnad per år avrundat till närmsta hundratal kronor:</t>
  </si>
  <si>
    <t>Kostnad för del i samfällighets-, Väg-, eller tomtägarförening o.dyl. per år</t>
  </si>
  <si>
    <t>Övriga förutsättningar:</t>
  </si>
  <si>
    <t>Kontrollansvarig enl. PBL</t>
  </si>
  <si>
    <t>3 mån</t>
  </si>
  <si>
    <t>Grundoljning o grundmålning</t>
  </si>
  <si>
    <t>Sökt belopp, kr (nytt lån)</t>
  </si>
  <si>
    <t>Efternamn och tilltalsnamn</t>
  </si>
  <si>
    <t>Postutdelningsadress</t>
  </si>
  <si>
    <t>Postnummer och ort</t>
  </si>
  <si>
    <t>Epost</t>
  </si>
  <si>
    <t>Arbetsgivare</t>
  </si>
  <si>
    <t>Medsökande</t>
  </si>
  <si>
    <t>Bank</t>
  </si>
  <si>
    <t>Lägesbeskrivning</t>
  </si>
  <si>
    <t>Endast uppgift om make/maka/sambo/reg partner</t>
  </si>
  <si>
    <t>Yrke/Titel</t>
  </si>
  <si>
    <t>Hushållets inkomster</t>
  </si>
  <si>
    <t>kronor per månad</t>
  </si>
  <si>
    <t>Hushållets utgifter</t>
  </si>
  <si>
    <t>Personnummer</t>
  </si>
  <si>
    <t>Telefon bostad (även riktnr)</t>
  </si>
  <si>
    <t>Mobil</t>
  </si>
  <si>
    <t>Civilstånd</t>
  </si>
  <si>
    <t>Anställningsdatum</t>
  </si>
  <si>
    <t>INTRESSEANMÄLAN</t>
  </si>
  <si>
    <t>Arbetsinkomst/pension</t>
  </si>
  <si>
    <t>Person 1, före skatt</t>
  </si>
  <si>
    <t>Förmånsvärde, t ex bil, kost kr</t>
  </si>
  <si>
    <t>Person 2, före skatt</t>
  </si>
  <si>
    <t>Barnbidrag/bidragsförskott</t>
  </si>
  <si>
    <t>Övriga inkomster</t>
  </si>
  <si>
    <t>SUMMA INKOMSTER</t>
  </si>
  <si>
    <t>SUMMA UTGIFTER</t>
  </si>
  <si>
    <t>Driftskostnad</t>
  </si>
  <si>
    <t>(enligt SmV)</t>
  </si>
  <si>
    <t>Skatt totalt</t>
  </si>
  <si>
    <t xml:space="preserve">Flickor år </t>
  </si>
  <si>
    <t>Pojkar år</t>
  </si>
  <si>
    <t>Barnomsorg/underhåll</t>
  </si>
  <si>
    <t>Övriga fasta kostnader</t>
  </si>
  <si>
    <t>Inkl kostnader för andra lån</t>
  </si>
  <si>
    <t xml:space="preserve">Julie Brovall                                              </t>
  </si>
  <si>
    <t>&lt;Kund.Pers-/Org.nr  &gt;</t>
  </si>
  <si>
    <t xml:space="preserve">                                                                                                   </t>
  </si>
  <si>
    <t xml:space="preserve">                                                                                             </t>
  </si>
  <si>
    <t xml:space="preserve">                    </t>
  </si>
  <si>
    <t xml:space="preserve">0720810630            </t>
  </si>
  <si>
    <t xml:space="preserve">                                                           </t>
  </si>
  <si>
    <t xml:space="preserve">                 </t>
  </si>
  <si>
    <t xml:space="preserve">                    </t>
  </si>
  <si>
    <t xml:space="preserve">                      </t>
  </si>
  <si>
    <t xml:space="preserve">                                                                                                                      </t>
  </si>
  <si>
    <t>Total produktionskostnad, kr</t>
  </si>
  <si>
    <t>Eget arbete, värdering</t>
  </si>
  <si>
    <t xml:space="preserve">  Preliminär driftkostnad för första året</t>
  </si>
  <si>
    <t>Extra material/ byggnadsarbeten</t>
  </si>
  <si>
    <t>Enl. SmV:s leveransbeskrivning</t>
  </si>
  <si>
    <t xml:space="preserve">Gatukostnad </t>
  </si>
  <si>
    <t>Anslutningsavgift VA</t>
  </si>
  <si>
    <t>Anslutningsavgift EL</t>
  </si>
  <si>
    <t>Anslutningsavg. Fjärrvärme/Gas</t>
  </si>
  <si>
    <t>Anslutningsavg. Telefon/Stadsnät</t>
  </si>
  <si>
    <t>För normala grundförhållanden</t>
  </si>
  <si>
    <t>Omlastning</t>
  </si>
  <si>
    <t>Container</t>
  </si>
  <si>
    <t>Extra fyllnadsmassor/pålning</t>
  </si>
  <si>
    <t xml:space="preserve">julie_brovall@hotmail.com                                                                            </t>
  </si>
  <si>
    <t xml:space="preserve">                                                                                                     </t>
  </si>
  <si>
    <t>PRODUKTIONSKOSTNADSKALKYL</t>
  </si>
  <si>
    <t>0,91 - 2,94</t>
  </si>
  <si>
    <t>2,94 - 8,08</t>
  </si>
  <si>
    <t>Prisbasbelopp för år 2015</t>
  </si>
  <si>
    <t>ungefärlig prisuppgift enligt konsumenttjänstlagen eller annan lagstiftning.</t>
  </si>
  <si>
    <t>Uppskattat</t>
  </si>
  <si>
    <t>belopp</t>
  </si>
  <si>
    <r>
      <t xml:space="preserve">Anm: Angivna belopp, som inte grundas på tecknat kontrakt eller skriftligt anbud, utgör </t>
    </r>
    <r>
      <rPr>
        <u val="single"/>
        <sz val="10"/>
        <rFont val="Arial"/>
        <family val="2"/>
      </rPr>
      <t>ej</t>
    </r>
  </si>
  <si>
    <t>Hjälp Jobb lön 1</t>
  </si>
  <si>
    <t>Hjälp Jobb lön 2</t>
  </si>
  <si>
    <t xml:space="preserve">  8,08-13,54</t>
  </si>
  <si>
    <t>över 13,54</t>
  </si>
  <si>
    <t>Kontant</t>
  </si>
  <si>
    <t>eget arb</t>
  </si>
  <si>
    <t>Belåningsgrad</t>
  </si>
  <si>
    <t>Bottenlån max 85%</t>
  </si>
  <si>
    <t xml:space="preserve">Tilläggslån </t>
  </si>
  <si>
    <t>lån</t>
  </si>
  <si>
    <t>rta</t>
  </si>
  <si>
    <t>amort</t>
  </si>
  <si>
    <t>summa</t>
  </si>
  <si>
    <t>Totalt lån</t>
  </si>
  <si>
    <t>Delen eget arbete</t>
  </si>
  <si>
    <t xml:space="preserve">PRELIMINÄR KALKYL FÖR BOENDEKOSTNADER I  NYPRODUCERADE SMÅHUS ÅR </t>
  </si>
  <si>
    <t>Beräkning av grundavdrag för år</t>
  </si>
  <si>
    <t>Total produkt kostn</t>
  </si>
  <si>
    <t>totalt Erf lån</t>
  </si>
  <si>
    <t>Botenlån 1</t>
  </si>
  <si>
    <t>Botenlån 2</t>
  </si>
  <si>
    <t>Botenlån totalt</t>
  </si>
  <si>
    <t>Tilläggslån utan pantb</t>
  </si>
  <si>
    <t>Eget arb</t>
  </si>
  <si>
    <t xml:space="preserve"> Egen insats</t>
  </si>
  <si>
    <t xml:space="preserve"> Summa</t>
  </si>
  <si>
    <t>Hänsyn har tagits till ändrat "jobbavdrag" för 2017-2018</t>
  </si>
  <si>
    <t>OBS! Skuldkvoten (4,5xbruttolön) påverkas om köparen har fler bostadslån</t>
  </si>
  <si>
    <t>än ovan i andra fastigheter eller bostadsrätter.</t>
  </si>
  <si>
    <t>Kontantinsats i %</t>
  </si>
  <si>
    <t xml:space="preserve">                          </t>
  </si>
  <si>
    <t>Rev. 2019-02-05 BP</t>
  </si>
  <si>
    <t>Nyanslutning av el</t>
  </si>
  <si>
    <t>Utv. färdigmålning material</t>
  </si>
  <si>
    <t>Ev. fyllnadsmassor/bortforsling</t>
  </si>
  <si>
    <t>Kontrollansvarig</t>
  </si>
  <si>
    <t>2% av lånesumman + 950:-</t>
  </si>
  <si>
    <t>Myndighetskostnader</t>
  </si>
  <si>
    <t>Plan och avstyckningsavgift</t>
  </si>
  <si>
    <t>markarbete och platta till garage</t>
  </si>
  <si>
    <t>Fiber</t>
  </si>
  <si>
    <t>1,5% av tomtsumman + 950:-</t>
  </si>
  <si>
    <t>Va&amp;av</t>
  </si>
  <si>
    <t>Villa Fredriksdal</t>
  </si>
  <si>
    <t>Vaggeryd</t>
  </si>
  <si>
    <t>Månsabovägen 19</t>
  </si>
  <si>
    <t xml:space="preserve">Sörgården </t>
  </si>
  <si>
    <t>Entréplan inkl. plintar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</si>
</sst>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yy/mm/dd"/>
    <numFmt numFmtId="167" formatCode="#,##0&quot; kr &quot;"/>
    <numFmt numFmtId="168" formatCode="#,##0.000"/>
    <numFmt numFmtId="169" formatCode="_-* #,##0.00&quot; kr&quot;_-;\-* #,##0.00&quot; kr&quot;_-;_-* \-??&quot; kr&quot;_-;_-@_-"/>
    <numFmt numFmtId="170" formatCode="_-* #,##0&quot; kr&quot;_-;\-* #,##0&quot; kr&quot;_-;_-* &quot;- kr&quot;_-;_-@_-"/>
    <numFmt numFmtId="171" formatCode="#,##0&quot; kr&quot;;\-#,##0&quot; kr&quot;"/>
    <numFmt numFmtId="172" formatCode="yy/mm/dd;@"/>
  </numFmts>
  <fonts count="6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sz val="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8"/>
      <color indexed="8"/>
      <name val="Times New Roman"/>
      <family val="1"/>
    </font>
    <font>
      <b/>
      <i/>
      <sz val="8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lightDown"/>
    </fill>
  </fills>
  <borders count="9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/>
      <top/>
      <bottom style="thin"/>
    </border>
    <border diagonalUp="1" diagonalDown="1">
      <left style="thin"/>
      <right/>
      <top style="thin"/>
      <bottom/>
      <diagonal style="thin"/>
    </border>
    <border diagonalUp="1" diagonalDown="1">
      <left/>
      <right/>
      <top style="thin"/>
      <bottom/>
      <diagonal style="thin"/>
    </border>
    <border diagonalUp="1" diagonalDown="1">
      <left/>
      <right style="thin"/>
      <top style="thin"/>
      <bottom/>
      <diagonal style="thin"/>
    </border>
    <border diagonalUp="1" diagonalDown="1">
      <left style="thin"/>
      <right/>
      <top/>
      <bottom style="thin"/>
      <diagonal style="thin"/>
    </border>
    <border diagonalUp="1" diagonalDown="1">
      <left/>
      <right/>
      <top/>
      <bottom style="thin"/>
      <diagonal style="thin"/>
    </border>
    <border diagonalUp="1" diagonalDown="1">
      <left/>
      <right style="thin"/>
      <top/>
      <bottom style="thin"/>
      <diagonal style="thin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thin"/>
      <bottom/>
    </border>
    <border>
      <left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20" borderId="1" applyNumberFormat="0" applyFont="0" applyAlignment="0" applyProtection="0"/>
    <xf numFmtId="0" fontId="52" fillId="21" borderId="2" applyNumberFormat="0" applyAlignment="0" applyProtection="0"/>
    <xf numFmtId="0" fontId="53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31" borderId="3" applyNumberFormat="0" applyAlignment="0" applyProtection="0"/>
    <xf numFmtId="0" fontId="59" fillId="0" borderId="4" applyNumberFormat="0" applyFill="0" applyAlignment="0" applyProtection="0"/>
    <xf numFmtId="0" fontId="60" fillId="32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</cellStyleXfs>
  <cellXfs count="6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3" fontId="7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8" fillId="33" borderId="14" xfId="0" applyFont="1" applyFill="1" applyBorder="1" applyAlignment="1" applyProtection="1">
      <alignment/>
      <protection locked="0"/>
    </xf>
    <xf numFmtId="166" fontId="9" fillId="33" borderId="14" xfId="0" applyNumberFormat="1" applyFont="1" applyFill="1" applyBorder="1" applyAlignment="1" applyProtection="1">
      <alignment horizontal="left"/>
      <protection locked="0"/>
    </xf>
    <xf numFmtId="3" fontId="8" fillId="33" borderId="15" xfId="0" applyNumberFormat="1" applyFont="1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/>
    </xf>
    <xf numFmtId="3" fontId="5" fillId="33" borderId="16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6" fillId="33" borderId="17" xfId="0" applyNumberFormat="1" applyFont="1" applyFill="1" applyBorder="1" applyAlignment="1" applyProtection="1">
      <alignment/>
      <protection/>
    </xf>
    <xf numFmtId="3" fontId="6" fillId="33" borderId="0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6" fillId="33" borderId="11" xfId="0" applyNumberFormat="1" applyFont="1" applyFill="1" applyBorder="1" applyAlignment="1" applyProtection="1">
      <alignment/>
      <protection/>
    </xf>
    <xf numFmtId="3" fontId="6" fillId="33" borderId="12" xfId="0" applyNumberFormat="1" applyFont="1" applyFill="1" applyBorder="1" applyAlignment="1" applyProtection="1">
      <alignment/>
      <protection/>
    </xf>
    <xf numFmtId="3" fontId="10" fillId="0" borderId="0" xfId="0" applyNumberFormat="1" applyFont="1" applyAlignment="1" applyProtection="1">
      <alignment/>
      <protection/>
    </xf>
    <xf numFmtId="0" fontId="8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3" fontId="0" fillId="33" borderId="13" xfId="0" applyNumberFormat="1" applyFont="1" applyFill="1" applyBorder="1" applyAlignment="1" applyProtection="1">
      <alignment/>
      <protection/>
    </xf>
    <xf numFmtId="3" fontId="0" fillId="33" borderId="13" xfId="0" applyNumberFormat="1" applyFont="1" applyFill="1" applyBorder="1" applyAlignment="1" applyProtection="1">
      <alignment/>
      <protection locked="0"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3" fontId="0" fillId="33" borderId="24" xfId="0" applyNumberFormat="1" applyFont="1" applyFill="1" applyBorder="1" applyAlignment="1" applyProtection="1">
      <alignment/>
      <protection/>
    </xf>
    <xf numFmtId="3" fontId="0" fillId="33" borderId="24" xfId="0" applyNumberFormat="1" applyFont="1" applyFill="1" applyBorder="1" applyAlignment="1" applyProtection="1">
      <alignment/>
      <protection locked="0"/>
    </xf>
    <xf numFmtId="0" fontId="9" fillId="33" borderId="16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0" fontId="11" fillId="33" borderId="25" xfId="0" applyFont="1" applyFill="1" applyBorder="1" applyAlignment="1" applyProtection="1">
      <alignment/>
      <protection/>
    </xf>
    <xf numFmtId="3" fontId="0" fillId="33" borderId="26" xfId="0" applyNumberFormat="1" applyFont="1" applyFill="1" applyBorder="1" applyAlignment="1" applyProtection="1">
      <alignment/>
      <protection/>
    </xf>
    <xf numFmtId="3" fontId="0" fillId="33" borderId="14" xfId="0" applyNumberFormat="1" applyFont="1" applyFill="1" applyBorder="1" applyAlignment="1" applyProtection="1">
      <alignment/>
      <protection/>
    </xf>
    <xf numFmtId="0" fontId="9" fillId="33" borderId="20" xfId="0" applyFont="1" applyFill="1" applyBorder="1" applyAlignment="1">
      <alignment/>
    </xf>
    <xf numFmtId="3" fontId="0" fillId="33" borderId="27" xfId="0" applyNumberFormat="1" applyFont="1" applyFill="1" applyBorder="1" applyAlignment="1" applyProtection="1">
      <alignment horizontal="right"/>
      <protection/>
    </xf>
    <xf numFmtId="3" fontId="0" fillId="33" borderId="28" xfId="0" applyNumberFormat="1" applyFont="1" applyFill="1" applyBorder="1" applyAlignment="1" applyProtection="1">
      <alignment horizontal="right"/>
      <protection/>
    </xf>
    <xf numFmtId="3" fontId="0" fillId="33" borderId="15" xfId="0" applyNumberFormat="1" applyFont="1" applyFill="1" applyBorder="1" applyAlignment="1" applyProtection="1">
      <alignment/>
      <protection/>
    </xf>
    <xf numFmtId="0" fontId="5" fillId="33" borderId="22" xfId="0" applyFont="1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3" fontId="0" fillId="33" borderId="24" xfId="0" applyNumberForma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5" fillId="33" borderId="21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21" xfId="0" applyFont="1" applyFill="1" applyBorder="1" applyAlignment="1" applyProtection="1">
      <alignment/>
      <protection locked="0"/>
    </xf>
    <xf numFmtId="0" fontId="5" fillId="33" borderId="12" xfId="0" applyFont="1" applyFill="1" applyBorder="1" applyAlignment="1" applyProtection="1">
      <alignment/>
      <protection/>
    </xf>
    <xf numFmtId="3" fontId="3" fillId="0" borderId="29" xfId="0" applyNumberFormat="1" applyFont="1" applyBorder="1" applyAlignment="1" applyProtection="1">
      <alignment/>
      <protection/>
    </xf>
    <xf numFmtId="2" fontId="5" fillId="34" borderId="29" xfId="0" applyNumberFormat="1" applyFont="1" applyFill="1" applyBorder="1" applyAlignment="1" applyProtection="1">
      <alignment/>
      <protection locked="0"/>
    </xf>
    <xf numFmtId="3" fontId="0" fillId="33" borderId="12" xfId="0" applyNumberFormat="1" applyFont="1" applyFill="1" applyBorder="1" applyAlignment="1" applyProtection="1">
      <alignment/>
      <protection/>
    </xf>
    <xf numFmtId="3" fontId="0" fillId="33" borderId="0" xfId="0" applyNumberFormat="1" applyFont="1" applyFill="1" applyAlignment="1" applyProtection="1">
      <alignment/>
      <protection/>
    </xf>
    <xf numFmtId="0" fontId="5" fillId="33" borderId="20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 locked="0"/>
    </xf>
    <xf numFmtId="0" fontId="5" fillId="33" borderId="11" xfId="0" applyFont="1" applyFill="1" applyBorder="1" applyAlignment="1" applyProtection="1">
      <alignment/>
      <protection locked="0"/>
    </xf>
    <xf numFmtId="0" fontId="5" fillId="33" borderId="23" xfId="0" applyFont="1" applyFill="1" applyBorder="1" applyAlignment="1" applyProtection="1">
      <alignment/>
      <protection/>
    </xf>
    <xf numFmtId="3" fontId="0" fillId="35" borderId="24" xfId="0" applyNumberFormat="1" applyFont="1" applyFill="1" applyBorder="1" applyAlignment="1" applyProtection="1">
      <alignment/>
      <protection/>
    </xf>
    <xf numFmtId="0" fontId="5" fillId="33" borderId="17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11" fillId="33" borderId="25" xfId="0" applyFont="1" applyFill="1" applyBorder="1" applyAlignment="1">
      <alignment/>
    </xf>
    <xf numFmtId="0" fontId="11" fillId="33" borderId="26" xfId="0" applyFont="1" applyFill="1" applyBorder="1" applyAlignment="1" applyProtection="1">
      <alignment/>
      <protection/>
    </xf>
    <xf numFmtId="0" fontId="5" fillId="33" borderId="19" xfId="0" applyFont="1" applyFill="1" applyBorder="1" applyAlignment="1">
      <alignment/>
    </xf>
    <xf numFmtId="14" fontId="5" fillId="33" borderId="0" xfId="0" applyNumberFormat="1" applyFont="1" applyFill="1" applyAlignment="1">
      <alignment horizontal="left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3" fontId="0" fillId="0" borderId="0" xfId="0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3" fontId="0" fillId="0" borderId="0" xfId="0" applyNumberFormat="1" applyFont="1" applyAlignment="1" applyProtection="1">
      <alignment/>
      <protection/>
    </xf>
    <xf numFmtId="0" fontId="3" fillId="0" borderId="0" xfId="0" applyFont="1" applyBorder="1" applyAlignment="1">
      <alignment/>
    </xf>
    <xf numFmtId="3" fontId="13" fillId="0" borderId="0" xfId="0" applyNumberFormat="1" applyFont="1" applyBorder="1" applyAlignment="1" applyProtection="1">
      <alignment horizontal="right"/>
      <protection/>
    </xf>
    <xf numFmtId="166" fontId="13" fillId="0" borderId="0" xfId="0" applyNumberFormat="1" applyFont="1" applyBorder="1" applyAlignment="1" applyProtection="1">
      <alignment horizontal="center"/>
      <protection/>
    </xf>
    <xf numFmtId="3" fontId="3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167" fontId="13" fillId="0" borderId="0" xfId="0" applyNumberFormat="1" applyFont="1" applyBorder="1" applyAlignment="1">
      <alignment horizontal="center"/>
    </xf>
    <xf numFmtId="0" fontId="1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3" fontId="3" fillId="0" borderId="0" xfId="0" applyNumberFormat="1" applyFont="1" applyBorder="1" applyAlignment="1" applyProtection="1">
      <alignment horizontal="center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2" fontId="3" fillId="33" borderId="0" xfId="0" applyNumberFormat="1" applyFont="1" applyFill="1" applyBorder="1" applyAlignment="1" applyProtection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/>
      <protection/>
    </xf>
    <xf numFmtId="3" fontId="5" fillId="0" borderId="10" xfId="0" applyNumberFormat="1" applyFont="1" applyBorder="1" applyAlignment="1" applyProtection="1">
      <alignment/>
      <protection/>
    </xf>
    <xf numFmtId="166" fontId="5" fillId="0" borderId="12" xfId="0" applyNumberFormat="1" applyFont="1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1" fillId="0" borderId="16" xfId="0" applyFont="1" applyBorder="1" applyAlignment="1" applyProtection="1">
      <alignment/>
      <protection/>
    </xf>
    <xf numFmtId="0" fontId="11" fillId="0" borderId="17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66" fontId="0" fillId="0" borderId="17" xfId="0" applyNumberFormat="1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3" fontId="8" fillId="0" borderId="18" xfId="0" applyNumberFormat="1" applyFont="1" applyBorder="1" applyAlignment="1" applyProtection="1">
      <alignment/>
      <protection/>
    </xf>
    <xf numFmtId="3" fontId="0" fillId="0" borderId="20" xfId="0" applyNumberFormat="1" applyFont="1" applyBorder="1" applyAlignment="1" applyProtection="1">
      <alignment/>
      <protection/>
    </xf>
    <xf numFmtId="3" fontId="0" fillId="0" borderId="18" xfId="0" applyNumberFormat="1" applyFont="1" applyBorder="1" applyAlignment="1" applyProtection="1">
      <alignment/>
      <protection/>
    </xf>
    <xf numFmtId="3" fontId="0" fillId="0" borderId="19" xfId="0" applyNumberFormat="1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166" fontId="0" fillId="0" borderId="20" xfId="0" applyNumberFormat="1" applyFont="1" applyBorder="1" applyAlignment="1" applyProtection="1">
      <alignment/>
      <protection/>
    </xf>
    <xf numFmtId="3" fontId="5" fillId="0" borderId="12" xfId="0" applyNumberFormat="1" applyFont="1" applyBorder="1" applyAlignment="1" applyProtection="1">
      <alignment/>
      <protection/>
    </xf>
    <xf numFmtId="3" fontId="5" fillId="0" borderId="11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/>
      <protection/>
    </xf>
    <xf numFmtId="0" fontId="9" fillId="0" borderId="22" xfId="0" applyFont="1" applyBorder="1" applyAlignment="1" applyProtection="1">
      <alignment/>
      <protection/>
    </xf>
    <xf numFmtId="3" fontId="0" fillId="0" borderId="22" xfId="0" applyNumberFormat="1" applyFont="1" applyBorder="1" applyAlignment="1" applyProtection="1">
      <alignment horizontal="center"/>
      <protection/>
    </xf>
    <xf numFmtId="3" fontId="0" fillId="0" borderId="23" xfId="0" applyNumberFormat="1" applyFont="1" applyBorder="1" applyAlignment="1" applyProtection="1">
      <alignment horizontal="center"/>
      <protection/>
    </xf>
    <xf numFmtId="3" fontId="0" fillId="0" borderId="24" xfId="0" applyNumberFormat="1" applyFont="1" applyBorder="1" applyAlignment="1" applyProtection="1">
      <alignment/>
      <protection locked="0"/>
    </xf>
    <xf numFmtId="3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8" fillId="0" borderId="21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33" borderId="22" xfId="0" applyFont="1" applyFill="1" applyBorder="1" applyAlignment="1" applyProtection="1">
      <alignment/>
      <protection/>
    </xf>
    <xf numFmtId="0" fontId="0" fillId="33" borderId="19" xfId="0" applyFont="1" applyFill="1" applyBorder="1" applyAlignment="1" applyProtection="1">
      <alignment/>
      <protection/>
    </xf>
    <xf numFmtId="3" fontId="0" fillId="0" borderId="19" xfId="0" applyNumberFormat="1" applyFont="1" applyFill="1" applyBorder="1" applyAlignment="1" applyProtection="1">
      <alignment/>
      <protection/>
    </xf>
    <xf numFmtId="3" fontId="0" fillId="0" borderId="24" xfId="0" applyNumberFormat="1" applyFont="1" applyBorder="1" applyAlignment="1" applyProtection="1">
      <alignment/>
      <protection/>
    </xf>
    <xf numFmtId="14" fontId="5" fillId="0" borderId="0" xfId="0" applyNumberFormat="1" applyFont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3" fontId="0" fillId="33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 locked="0"/>
    </xf>
    <xf numFmtId="3" fontId="0" fillId="36" borderId="0" xfId="0" applyNumberFormat="1" applyFont="1" applyFill="1" applyBorder="1" applyAlignment="1" applyProtection="1">
      <alignment/>
      <protection/>
    </xf>
    <xf numFmtId="3" fontId="0" fillId="36" borderId="0" xfId="0" applyNumberFormat="1" applyFont="1" applyFill="1" applyAlignment="1" applyProtection="1">
      <alignment/>
      <protection/>
    </xf>
    <xf numFmtId="0" fontId="0" fillId="36" borderId="0" xfId="0" applyFont="1" applyFill="1" applyAlignment="1">
      <alignment/>
    </xf>
    <xf numFmtId="3" fontId="19" fillId="0" borderId="0" xfId="0" applyNumberFormat="1" applyFont="1" applyAlignment="1" applyProtection="1">
      <alignment/>
      <protection/>
    </xf>
    <xf numFmtId="3" fontId="18" fillId="36" borderId="0" xfId="0" applyNumberFormat="1" applyFont="1" applyFill="1" applyAlignment="1" applyProtection="1">
      <alignment/>
      <protection/>
    </xf>
    <xf numFmtId="3" fontId="4" fillId="36" borderId="0" xfId="0" applyNumberFormat="1" applyFont="1" applyFill="1" applyAlignment="1" applyProtection="1">
      <alignment/>
      <protection/>
    </xf>
    <xf numFmtId="3" fontId="18" fillId="0" borderId="0" xfId="0" applyNumberFormat="1" applyFont="1" applyFill="1" applyAlignment="1" applyProtection="1">
      <alignment/>
      <protection/>
    </xf>
    <xf numFmtId="3" fontId="18" fillId="0" borderId="0" xfId="0" applyNumberFormat="1" applyFont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0" fontId="18" fillId="0" borderId="0" xfId="0" applyFont="1" applyAlignment="1">
      <alignment/>
    </xf>
    <xf numFmtId="3" fontId="18" fillId="0" borderId="0" xfId="0" applyNumberFormat="1" applyFont="1" applyFill="1" applyAlignment="1" applyProtection="1">
      <alignment horizontal="left"/>
      <protection/>
    </xf>
    <xf numFmtId="166" fontId="20" fillId="0" borderId="24" xfId="0" applyNumberFormat="1" applyFont="1" applyFill="1" applyBorder="1" applyAlignment="1" applyProtection="1">
      <alignment horizontal="left"/>
      <protection/>
    </xf>
    <xf numFmtId="166" fontId="18" fillId="0" borderId="0" xfId="0" applyNumberFormat="1" applyFont="1" applyFill="1" applyBorder="1" applyAlignment="1" applyProtection="1">
      <alignment horizontal="center"/>
      <protection/>
    </xf>
    <xf numFmtId="0" fontId="0" fillId="36" borderId="0" xfId="0" applyFont="1" applyFill="1" applyAlignment="1" applyProtection="1">
      <alignment/>
      <protection/>
    </xf>
    <xf numFmtId="0" fontId="21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3" fontId="5" fillId="0" borderId="13" xfId="0" applyNumberFormat="1" applyFont="1" applyBorder="1" applyAlignment="1" applyProtection="1">
      <alignment/>
      <protection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3" fontId="5" fillId="36" borderId="0" xfId="0" applyNumberFormat="1" applyFont="1" applyFill="1" applyAlignment="1" applyProtection="1">
      <alignment/>
      <protection/>
    </xf>
    <xf numFmtId="0" fontId="5" fillId="36" borderId="0" xfId="0" applyFont="1" applyFill="1" applyAlignment="1">
      <alignment/>
    </xf>
    <xf numFmtId="0" fontId="5" fillId="36" borderId="0" xfId="0" applyFont="1" applyFill="1" applyAlignment="1" applyProtection="1">
      <alignment/>
      <protection/>
    </xf>
    <xf numFmtId="0" fontId="0" fillId="34" borderId="16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Font="1" applyBorder="1" applyAlignment="1" applyProtection="1">
      <alignment/>
      <protection locked="0"/>
    </xf>
    <xf numFmtId="3" fontId="0" fillId="0" borderId="15" xfId="0" applyNumberFormat="1" applyFont="1" applyBorder="1" applyAlignment="1" applyProtection="1">
      <alignment horizontal="center"/>
      <protection locked="0"/>
    </xf>
    <xf numFmtId="0" fontId="0" fillId="0" borderId="20" xfId="0" applyBorder="1" applyAlignment="1">
      <alignment/>
    </xf>
    <xf numFmtId="0" fontId="0" fillId="0" borderId="0" xfId="0" applyBorder="1" applyAlignment="1" applyProtection="1">
      <alignment/>
      <protection/>
    </xf>
    <xf numFmtId="3" fontId="0" fillId="34" borderId="24" xfId="0" applyNumberFormat="1" applyFont="1" applyFill="1" applyBorder="1" applyAlignment="1" applyProtection="1">
      <alignment/>
      <protection/>
    </xf>
    <xf numFmtId="2" fontId="0" fillId="0" borderId="30" xfId="0" applyNumberFormat="1" applyFont="1" applyBorder="1" applyAlignment="1" applyProtection="1">
      <alignment/>
      <protection/>
    </xf>
    <xf numFmtId="3" fontId="4" fillId="34" borderId="29" xfId="0" applyNumberFormat="1" applyFont="1" applyFill="1" applyBorder="1" applyAlignment="1">
      <alignment horizontal="center"/>
    </xf>
    <xf numFmtId="2" fontId="0" fillId="0" borderId="2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21" xfId="0" applyNumberFormat="1" applyFont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3" fontId="0" fillId="0" borderId="31" xfId="0" applyNumberFormat="1" applyFont="1" applyBorder="1" applyAlignment="1" applyProtection="1">
      <alignment/>
      <protection/>
    </xf>
    <xf numFmtId="0" fontId="5" fillId="34" borderId="17" xfId="0" applyFont="1" applyFill="1" applyBorder="1" applyAlignment="1">
      <alignment/>
    </xf>
    <xf numFmtId="3" fontId="0" fillId="0" borderId="18" xfId="0" applyNumberFormat="1" applyFont="1" applyBorder="1" applyAlignment="1" applyProtection="1">
      <alignment horizontal="left"/>
      <protection/>
    </xf>
    <xf numFmtId="3" fontId="0" fillId="0" borderId="32" xfId="0" applyNumberFormat="1" applyFont="1" applyBorder="1" applyAlignment="1" applyProtection="1">
      <alignment/>
      <protection/>
    </xf>
    <xf numFmtId="0" fontId="0" fillId="0" borderId="24" xfId="0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5" fillId="0" borderId="13" xfId="0" applyFont="1" applyBorder="1" applyAlignment="1" applyProtection="1">
      <alignment/>
      <protection/>
    </xf>
    <xf numFmtId="0" fontId="0" fillId="34" borderId="24" xfId="0" applyFont="1" applyFill="1" applyBorder="1" applyAlignment="1" applyProtection="1">
      <alignment/>
      <protection/>
    </xf>
    <xf numFmtId="0" fontId="0" fillId="0" borderId="24" xfId="0" applyFont="1" applyBorder="1" applyAlignment="1">
      <alignment/>
    </xf>
    <xf numFmtId="4" fontId="0" fillId="0" borderId="15" xfId="0" applyNumberFormat="1" applyFont="1" applyBorder="1" applyAlignment="1" applyProtection="1">
      <alignment horizontal="center"/>
      <protection locked="0"/>
    </xf>
    <xf numFmtId="3" fontId="0" fillId="0" borderId="15" xfId="0" applyNumberFormat="1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 locked="0"/>
    </xf>
    <xf numFmtId="3" fontId="0" fillId="0" borderId="0" xfId="0" applyNumberFormat="1" applyFont="1" applyBorder="1" applyAlignment="1" applyProtection="1">
      <alignment horizontal="center"/>
      <protection/>
    </xf>
    <xf numFmtId="3" fontId="0" fillId="0" borderId="31" xfId="0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/>
    </xf>
    <xf numFmtId="3" fontId="0" fillId="0" borderId="13" xfId="0" applyNumberFormat="1" applyFont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/>
    </xf>
    <xf numFmtId="0" fontId="5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3" fontId="0" fillId="0" borderId="13" xfId="0" applyNumberFormat="1" applyFont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2" fontId="0" fillId="0" borderId="15" xfId="0" applyNumberFormat="1" applyFont="1" applyBorder="1" applyAlignment="1" applyProtection="1">
      <alignment horizontal="center"/>
      <protection/>
    </xf>
    <xf numFmtId="3" fontId="0" fillId="33" borderId="15" xfId="0" applyNumberFormat="1" applyFont="1" applyFill="1" applyBorder="1" applyAlignment="1" applyProtection="1">
      <alignment horizontal="center"/>
      <protection/>
    </xf>
    <xf numFmtId="0" fontId="0" fillId="0" borderId="20" xfId="0" applyFont="1" applyBorder="1" applyAlignment="1">
      <alignment horizontal="center"/>
    </xf>
    <xf numFmtId="3" fontId="5" fillId="37" borderId="33" xfId="0" applyNumberFormat="1" applyFont="1" applyFill="1" applyBorder="1" applyAlignment="1" applyProtection="1">
      <alignment/>
      <protection/>
    </xf>
    <xf numFmtId="0" fontId="0" fillId="34" borderId="17" xfId="0" applyFont="1" applyFill="1" applyBorder="1" applyAlignment="1">
      <alignment/>
    </xf>
    <xf numFmtId="3" fontId="5" fillId="0" borderId="18" xfId="0" applyNumberFormat="1" applyFont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3" fontId="5" fillId="34" borderId="24" xfId="0" applyNumberFormat="1" applyFont="1" applyFill="1" applyBorder="1" applyAlignment="1" applyProtection="1">
      <alignment/>
      <protection/>
    </xf>
    <xf numFmtId="2" fontId="0" fillId="37" borderId="24" xfId="0" applyNumberFormat="1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3" fontId="4" fillId="37" borderId="29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>
      <alignment/>
      <protection/>
    </xf>
    <xf numFmtId="4" fontId="0" fillId="0" borderId="24" xfId="0" applyNumberFormat="1" applyFont="1" applyFill="1" applyBorder="1" applyAlignment="1" applyProtection="1">
      <alignment/>
      <protection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20" xfId="0" applyFill="1" applyBorder="1" applyAlignment="1">
      <alignment/>
    </xf>
    <xf numFmtId="3" fontId="5" fillId="0" borderId="21" xfId="0" applyNumberFormat="1" applyFont="1" applyBorder="1" applyAlignment="1" applyProtection="1">
      <alignment/>
      <protection/>
    </xf>
    <xf numFmtId="0" fontId="0" fillId="0" borderId="23" xfId="0" applyFont="1" applyBorder="1" applyAlignment="1">
      <alignment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/>
      <protection/>
    </xf>
    <xf numFmtId="3" fontId="0" fillId="0" borderId="15" xfId="0" applyNumberFormat="1" applyFont="1" applyBorder="1" applyAlignment="1" applyProtection="1">
      <alignment/>
      <protection/>
    </xf>
    <xf numFmtId="3" fontId="18" fillId="36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21" xfId="0" applyFont="1" applyBorder="1" applyAlignment="1">
      <alignment/>
    </xf>
    <xf numFmtId="3" fontId="0" fillId="0" borderId="10" xfId="0" applyNumberFormat="1" applyFont="1" applyBorder="1" applyAlignment="1" applyProtection="1">
      <alignment horizontal="center"/>
      <protection/>
    </xf>
    <xf numFmtId="3" fontId="0" fillId="37" borderId="34" xfId="0" applyNumberFormat="1" applyFont="1" applyFill="1" applyBorder="1" applyAlignment="1" applyProtection="1">
      <alignment/>
      <protection/>
    </xf>
    <xf numFmtId="3" fontId="0" fillId="37" borderId="35" xfId="0" applyNumberFormat="1" applyFont="1" applyFill="1" applyBorder="1" applyAlignment="1" applyProtection="1">
      <alignment/>
      <protection/>
    </xf>
    <xf numFmtId="3" fontId="0" fillId="37" borderId="36" xfId="0" applyNumberFormat="1" applyFont="1" applyFill="1" applyBorder="1" applyAlignment="1" applyProtection="1">
      <alignment/>
      <protection/>
    </xf>
    <xf numFmtId="3" fontId="0" fillId="37" borderId="37" xfId="0" applyNumberFormat="1" applyFont="1" applyFill="1" applyBorder="1" applyAlignment="1" applyProtection="1">
      <alignment/>
      <protection/>
    </xf>
    <xf numFmtId="3" fontId="0" fillId="37" borderId="38" xfId="0" applyNumberFormat="1" applyFont="1" applyFill="1" applyBorder="1" applyAlignment="1" applyProtection="1">
      <alignment/>
      <protection/>
    </xf>
    <xf numFmtId="3" fontId="5" fillId="0" borderId="22" xfId="0" applyNumberFormat="1" applyFont="1" applyBorder="1" applyAlignment="1" applyProtection="1">
      <alignment/>
      <protection/>
    </xf>
    <xf numFmtId="0" fontId="5" fillId="0" borderId="22" xfId="0" applyFont="1" applyBorder="1" applyAlignment="1">
      <alignment/>
    </xf>
    <xf numFmtId="9" fontId="0" fillId="36" borderId="0" xfId="0" applyNumberFormat="1" applyFont="1" applyFill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/>
    </xf>
    <xf numFmtId="3" fontId="0" fillId="0" borderId="35" xfId="0" applyNumberFormat="1" applyFont="1" applyBorder="1" applyAlignment="1" applyProtection="1">
      <alignment/>
      <protection/>
    </xf>
    <xf numFmtId="3" fontId="0" fillId="0" borderId="39" xfId="0" applyNumberFormat="1" applyFont="1" applyBorder="1" applyAlignment="1" applyProtection="1">
      <alignment/>
      <protection/>
    </xf>
    <xf numFmtId="3" fontId="0" fillId="37" borderId="40" xfId="0" applyNumberFormat="1" applyFont="1" applyFill="1" applyBorder="1" applyAlignment="1" applyProtection="1">
      <alignment/>
      <protection/>
    </xf>
    <xf numFmtId="3" fontId="0" fillId="37" borderId="22" xfId="0" applyNumberFormat="1" applyFont="1" applyFill="1" applyBorder="1" applyAlignment="1" applyProtection="1">
      <alignment/>
      <protection/>
    </xf>
    <xf numFmtId="3" fontId="0" fillId="37" borderId="23" xfId="0" applyNumberFormat="1" applyFont="1" applyFill="1" applyBorder="1" applyAlignment="1" applyProtection="1">
      <alignment/>
      <protection/>
    </xf>
    <xf numFmtId="3" fontId="0" fillId="37" borderId="24" xfId="0" applyNumberFormat="1" applyFont="1" applyFill="1" applyBorder="1" applyAlignment="1" applyProtection="1">
      <alignment/>
      <protection/>
    </xf>
    <xf numFmtId="0" fontId="0" fillId="37" borderId="24" xfId="0" applyFont="1" applyFill="1" applyBorder="1" applyAlignment="1">
      <alignment/>
    </xf>
    <xf numFmtId="0" fontId="0" fillId="37" borderId="32" xfId="0" applyFont="1" applyFill="1" applyBorder="1" applyAlignment="1">
      <alignment/>
    </xf>
    <xf numFmtId="3" fontId="24" fillId="0" borderId="23" xfId="0" applyNumberFormat="1" applyFont="1" applyBorder="1" applyAlignment="1">
      <alignment/>
    </xf>
    <xf numFmtId="3" fontId="0" fillId="0" borderId="11" xfId="0" applyNumberFormat="1" applyFont="1" applyBorder="1" applyAlignment="1" applyProtection="1">
      <alignment horizontal="center"/>
      <protection/>
    </xf>
    <xf numFmtId="3" fontId="0" fillId="37" borderId="24" xfId="0" applyNumberFormat="1" applyFont="1" applyFill="1" applyBorder="1" applyAlignment="1">
      <alignment/>
    </xf>
    <xf numFmtId="3" fontId="0" fillId="37" borderId="32" xfId="0" applyNumberFormat="1" applyFont="1" applyFill="1" applyBorder="1" applyAlignment="1">
      <alignment/>
    </xf>
    <xf numFmtId="4" fontId="0" fillId="36" borderId="0" xfId="0" applyNumberFormat="1" applyFont="1" applyFill="1" applyAlignment="1" applyProtection="1">
      <alignment/>
      <protection/>
    </xf>
    <xf numFmtId="3" fontId="0" fillId="0" borderId="11" xfId="0" applyNumberFormat="1" applyFont="1" applyBorder="1" applyAlignment="1" applyProtection="1">
      <alignment/>
      <protection/>
    </xf>
    <xf numFmtId="3" fontId="0" fillId="0" borderId="1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23" xfId="0" applyNumberFormat="1" applyFont="1" applyBorder="1" applyAlignment="1" applyProtection="1">
      <alignment/>
      <protection/>
    </xf>
    <xf numFmtId="3" fontId="5" fillId="0" borderId="19" xfId="0" applyNumberFormat="1" applyFont="1" applyBorder="1" applyAlignment="1" applyProtection="1">
      <alignment/>
      <protection/>
    </xf>
    <xf numFmtId="0" fontId="5" fillId="0" borderId="19" xfId="0" applyFont="1" applyBorder="1" applyAlignment="1">
      <alignment/>
    </xf>
    <xf numFmtId="3" fontId="0" fillId="37" borderId="12" xfId="0" applyNumberFormat="1" applyFont="1" applyFill="1" applyBorder="1" applyAlignment="1" applyProtection="1">
      <alignment/>
      <protection/>
    </xf>
    <xf numFmtId="3" fontId="0" fillId="0" borderId="10" xfId="0" applyNumberFormat="1" applyFont="1" applyBorder="1" applyAlignment="1" applyProtection="1">
      <alignment/>
      <protection/>
    </xf>
    <xf numFmtId="10" fontId="0" fillId="0" borderId="29" xfId="0" applyNumberFormat="1" applyFont="1" applyFill="1" applyBorder="1" applyAlignment="1" applyProtection="1">
      <alignment/>
      <protection/>
    </xf>
    <xf numFmtId="3" fontId="0" fillId="37" borderId="20" xfId="0" applyNumberFormat="1" applyFont="1" applyFill="1" applyBorder="1" applyAlignment="1" applyProtection="1">
      <alignment/>
      <protection/>
    </xf>
    <xf numFmtId="3" fontId="0" fillId="38" borderId="16" xfId="0" applyNumberFormat="1" applyFont="1" applyFill="1" applyBorder="1" applyAlignment="1" applyProtection="1">
      <alignment/>
      <protection/>
    </xf>
    <xf numFmtId="3" fontId="0" fillId="38" borderId="14" xfId="0" applyNumberFormat="1" applyFont="1" applyFill="1" applyBorder="1" applyAlignment="1" applyProtection="1">
      <alignment/>
      <protection/>
    </xf>
    <xf numFmtId="3" fontId="0" fillId="36" borderId="24" xfId="0" applyNumberFormat="1" applyFont="1" applyFill="1" applyBorder="1" applyAlignment="1" applyProtection="1">
      <alignment/>
      <protection/>
    </xf>
    <xf numFmtId="3" fontId="0" fillId="0" borderId="21" xfId="0" applyNumberFormat="1" applyFont="1" applyBorder="1" applyAlignment="1">
      <alignment/>
    </xf>
    <xf numFmtId="3" fontId="0" fillId="34" borderId="0" xfId="0" applyNumberFormat="1" applyFont="1" applyFill="1" applyAlignment="1" applyProtection="1">
      <alignment/>
      <protection/>
    </xf>
    <xf numFmtId="3" fontId="0" fillId="34" borderId="21" xfId="0" applyNumberFormat="1" applyFont="1" applyFill="1" applyBorder="1" applyAlignment="1" applyProtection="1">
      <alignment/>
      <protection/>
    </xf>
    <xf numFmtId="0" fontId="0" fillId="0" borderId="22" xfId="0" applyFont="1" applyBorder="1" applyAlignment="1">
      <alignment/>
    </xf>
    <xf numFmtId="0" fontId="0" fillId="36" borderId="0" xfId="0" applyFont="1" applyFill="1" applyBorder="1" applyAlignment="1" applyProtection="1">
      <alignment/>
      <protection/>
    </xf>
    <xf numFmtId="3" fontId="0" fillId="36" borderId="0" xfId="0" applyNumberFormat="1" applyFont="1" applyFill="1" applyBorder="1" applyAlignment="1">
      <alignment/>
    </xf>
    <xf numFmtId="3" fontId="5" fillId="33" borderId="0" xfId="0" applyNumberFormat="1" applyFont="1" applyFill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0" fontId="0" fillId="36" borderId="0" xfId="0" applyFont="1" applyFill="1" applyBorder="1" applyAlignment="1">
      <alignment/>
    </xf>
    <xf numFmtId="3" fontId="5" fillId="0" borderId="24" xfId="0" applyNumberFormat="1" applyFont="1" applyBorder="1" applyAlignment="1" applyProtection="1">
      <alignment/>
      <protection/>
    </xf>
    <xf numFmtId="3" fontId="18" fillId="0" borderId="0" xfId="0" applyNumberFormat="1" applyFont="1" applyAlignment="1" applyProtection="1">
      <alignment horizontal="left"/>
      <protection/>
    </xf>
    <xf numFmtId="0" fontId="0" fillId="36" borderId="24" xfId="0" applyFont="1" applyFill="1" applyBorder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3" fontId="0" fillId="0" borderId="24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Border="1" applyAlignment="1" applyProtection="1">
      <alignment horizontal="center"/>
      <protection/>
    </xf>
    <xf numFmtId="3" fontId="0" fillId="37" borderId="41" xfId="0" applyNumberFormat="1" applyFont="1" applyFill="1" applyBorder="1" applyAlignment="1" applyProtection="1">
      <alignment/>
      <protection/>
    </xf>
    <xf numFmtId="3" fontId="0" fillId="37" borderId="11" xfId="0" applyNumberFormat="1" applyFont="1" applyFill="1" applyBorder="1" applyAlignment="1" applyProtection="1">
      <alignment/>
      <protection/>
    </xf>
    <xf numFmtId="3" fontId="0" fillId="37" borderId="13" xfId="0" applyNumberFormat="1" applyFont="1" applyFill="1" applyBorder="1" applyAlignment="1" applyProtection="1">
      <alignment/>
      <protection/>
    </xf>
    <xf numFmtId="3" fontId="0" fillId="37" borderId="13" xfId="0" applyNumberFormat="1" applyFont="1" applyFill="1" applyBorder="1" applyAlignment="1">
      <alignment/>
    </xf>
    <xf numFmtId="3" fontId="0" fillId="37" borderId="31" xfId="0" applyNumberFormat="1" applyFont="1" applyFill="1" applyBorder="1" applyAlignment="1">
      <alignment/>
    </xf>
    <xf numFmtId="0" fontId="0" fillId="37" borderId="21" xfId="0" applyFont="1" applyFill="1" applyBorder="1" applyAlignment="1">
      <alignment/>
    </xf>
    <xf numFmtId="0" fontId="0" fillId="37" borderId="22" xfId="0" applyFont="1" applyFill="1" applyBorder="1" applyAlignment="1">
      <alignment/>
    </xf>
    <xf numFmtId="9" fontId="0" fillId="0" borderId="29" xfId="0" applyNumberFormat="1" applyFont="1" applyFill="1" applyBorder="1" applyAlignment="1">
      <alignment/>
    </xf>
    <xf numFmtId="0" fontId="0" fillId="37" borderId="23" xfId="0" applyFont="1" applyFill="1" applyBorder="1" applyAlignment="1">
      <alignment/>
    </xf>
    <xf numFmtId="0" fontId="25" fillId="0" borderId="0" xfId="0" applyFont="1" applyAlignment="1" applyProtection="1">
      <alignment/>
      <protection/>
    </xf>
    <xf numFmtId="3" fontId="0" fillId="36" borderId="0" xfId="0" applyNumberFormat="1" applyFont="1" applyFill="1" applyBorder="1" applyAlignment="1" applyProtection="1">
      <alignment horizontal="center"/>
      <protection/>
    </xf>
    <xf numFmtId="3" fontId="0" fillId="34" borderId="22" xfId="0" applyNumberFormat="1" applyFont="1" applyFill="1" applyBorder="1" applyAlignment="1" applyProtection="1">
      <alignment/>
      <protection/>
    </xf>
    <xf numFmtId="3" fontId="0" fillId="34" borderId="24" xfId="0" applyNumberFormat="1" applyFont="1" applyFill="1" applyBorder="1" applyAlignment="1" applyProtection="1">
      <alignment horizontal="center"/>
      <protection/>
    </xf>
    <xf numFmtId="168" fontId="0" fillId="34" borderId="21" xfId="0" applyNumberFormat="1" applyFont="1" applyFill="1" applyBorder="1" applyAlignment="1" applyProtection="1">
      <alignment horizontal="center"/>
      <protection/>
    </xf>
    <xf numFmtId="0" fontId="0" fillId="36" borderId="15" xfId="0" applyFont="1" applyFill="1" applyBorder="1" applyAlignment="1" applyProtection="1">
      <alignment/>
      <protection/>
    </xf>
    <xf numFmtId="0" fontId="18" fillId="36" borderId="0" xfId="0" applyFont="1" applyFill="1" applyAlignment="1" applyProtection="1">
      <alignment/>
      <protection/>
    </xf>
    <xf numFmtId="3" fontId="0" fillId="37" borderId="27" xfId="0" applyNumberFormat="1" applyFont="1" applyFill="1" applyBorder="1" applyAlignment="1" applyProtection="1">
      <alignment/>
      <protection/>
    </xf>
    <xf numFmtId="3" fontId="0" fillId="37" borderId="42" xfId="0" applyNumberFormat="1" applyFont="1" applyFill="1" applyBorder="1" applyAlignment="1" applyProtection="1">
      <alignment/>
      <protection/>
    </xf>
    <xf numFmtId="3" fontId="0" fillId="37" borderId="43" xfId="0" applyNumberFormat="1" applyFont="1" applyFill="1" applyBorder="1" applyAlignment="1" applyProtection="1">
      <alignment/>
      <protection/>
    </xf>
    <xf numFmtId="3" fontId="0" fillId="37" borderId="44" xfId="0" applyNumberFormat="1" applyFont="1" applyFill="1" applyBorder="1" applyAlignment="1" applyProtection="1">
      <alignment/>
      <protection/>
    </xf>
    <xf numFmtId="3" fontId="0" fillId="34" borderId="18" xfId="0" applyNumberFormat="1" applyFont="1" applyFill="1" applyBorder="1" applyAlignment="1" applyProtection="1">
      <alignment/>
      <protection/>
    </xf>
    <xf numFmtId="3" fontId="0" fillId="34" borderId="19" xfId="0" applyNumberFormat="1" applyFont="1" applyFill="1" applyBorder="1" applyAlignment="1" applyProtection="1">
      <alignment/>
      <protection/>
    </xf>
    <xf numFmtId="3" fontId="0" fillId="34" borderId="20" xfId="0" applyNumberFormat="1" applyFont="1" applyFill="1" applyBorder="1" applyAlignment="1" applyProtection="1">
      <alignment/>
      <protection/>
    </xf>
    <xf numFmtId="0" fontId="0" fillId="37" borderId="25" xfId="0" applyFont="1" applyFill="1" applyBorder="1" applyAlignment="1">
      <alignment/>
    </xf>
    <xf numFmtId="0" fontId="0" fillId="37" borderId="26" xfId="0" applyFill="1" applyBorder="1" applyAlignment="1">
      <alignment/>
    </xf>
    <xf numFmtId="3" fontId="0" fillId="37" borderId="29" xfId="0" applyNumberFormat="1" applyFill="1" applyBorder="1" applyAlignment="1">
      <alignment/>
    </xf>
    <xf numFmtId="3" fontId="0" fillId="37" borderId="25" xfId="0" applyNumberFormat="1" applyFont="1" applyFill="1" applyBorder="1" applyAlignment="1" applyProtection="1">
      <alignment/>
      <protection/>
    </xf>
    <xf numFmtId="3" fontId="0" fillId="37" borderId="45" xfId="0" applyNumberFormat="1" applyFont="1" applyFill="1" applyBorder="1" applyAlignment="1" applyProtection="1">
      <alignment/>
      <protection/>
    </xf>
    <xf numFmtId="3" fontId="0" fillId="37" borderId="26" xfId="0" applyNumberFormat="1" applyFont="1" applyFill="1" applyBorder="1" applyAlignment="1" applyProtection="1">
      <alignment/>
      <protection/>
    </xf>
    <xf numFmtId="3" fontId="0" fillId="37" borderId="46" xfId="0" applyNumberFormat="1" applyFont="1" applyFill="1" applyBorder="1" applyAlignment="1" applyProtection="1">
      <alignment/>
      <protection/>
    </xf>
    <xf numFmtId="3" fontId="0" fillId="37" borderId="47" xfId="0" applyNumberFormat="1" applyFont="1" applyFill="1" applyBorder="1" applyAlignment="1" applyProtection="1">
      <alignment/>
      <protection/>
    </xf>
    <xf numFmtId="3" fontId="0" fillId="37" borderId="29" xfId="0" applyNumberFormat="1" applyFont="1" applyFill="1" applyBorder="1" applyAlignment="1" applyProtection="1">
      <alignment/>
      <protection/>
    </xf>
    <xf numFmtId="3" fontId="0" fillId="37" borderId="48" xfId="0" applyNumberFormat="1" applyFont="1" applyFill="1" applyBorder="1" applyAlignment="1" applyProtection="1">
      <alignment/>
      <protection/>
    </xf>
    <xf numFmtId="3" fontId="0" fillId="37" borderId="49" xfId="0" applyNumberFormat="1" applyFont="1" applyFill="1" applyBorder="1" applyAlignment="1">
      <alignment/>
    </xf>
    <xf numFmtId="3" fontId="0" fillId="34" borderId="23" xfId="0" applyNumberFormat="1" applyFont="1" applyFill="1" applyBorder="1" applyAlignment="1" applyProtection="1">
      <alignment/>
      <protection/>
    </xf>
    <xf numFmtId="0" fontId="0" fillId="37" borderId="50" xfId="0" applyFont="1" applyFill="1" applyBorder="1" applyAlignment="1">
      <alignment/>
    </xf>
    <xf numFmtId="0" fontId="0" fillId="37" borderId="51" xfId="0" applyFill="1" applyBorder="1" applyAlignment="1">
      <alignment/>
    </xf>
    <xf numFmtId="0" fontId="0" fillId="0" borderId="29" xfId="0" applyBorder="1" applyAlignment="1">
      <alignment/>
    </xf>
    <xf numFmtId="3" fontId="0" fillId="37" borderId="33" xfId="0" applyNumberFormat="1" applyFont="1" applyFill="1" applyBorder="1" applyAlignment="1" applyProtection="1">
      <alignment/>
      <protection/>
    </xf>
    <xf numFmtId="3" fontId="0" fillId="37" borderId="32" xfId="0" applyNumberFormat="1" applyFont="1" applyFill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3" fontId="0" fillId="37" borderId="51" xfId="0" applyNumberFormat="1" applyFont="1" applyFill="1" applyBorder="1" applyAlignment="1" applyProtection="1">
      <alignment/>
      <protection/>
    </xf>
    <xf numFmtId="3" fontId="0" fillId="34" borderId="29" xfId="0" applyNumberFormat="1" applyFont="1" applyFill="1" applyBorder="1" applyAlignment="1">
      <alignment/>
    </xf>
    <xf numFmtId="3" fontId="18" fillId="0" borderId="0" xfId="0" applyNumberFormat="1" applyFont="1" applyFill="1" applyBorder="1" applyAlignment="1" applyProtection="1">
      <alignment/>
      <protection/>
    </xf>
    <xf numFmtId="3" fontId="19" fillId="37" borderId="24" xfId="0" applyNumberFormat="1" applyFont="1" applyFill="1" applyBorder="1" applyAlignment="1" applyProtection="1">
      <alignment/>
      <protection/>
    </xf>
    <xf numFmtId="3" fontId="19" fillId="33" borderId="0" xfId="0" applyNumberFormat="1" applyFont="1" applyFill="1" applyBorder="1" applyAlignment="1" applyProtection="1">
      <alignment/>
      <protection/>
    </xf>
    <xf numFmtId="3" fontId="0" fillId="37" borderId="52" xfId="0" applyNumberFormat="1" applyFont="1" applyFill="1" applyBorder="1" applyAlignment="1" applyProtection="1">
      <alignment/>
      <protection/>
    </xf>
    <xf numFmtId="3" fontId="0" fillId="37" borderId="19" xfId="0" applyNumberFormat="1" applyFont="1" applyFill="1" applyBorder="1" applyAlignment="1" applyProtection="1">
      <alignment/>
      <protection/>
    </xf>
    <xf numFmtId="3" fontId="0" fillId="37" borderId="15" xfId="0" applyNumberFormat="1" applyFont="1" applyFill="1" applyBorder="1" applyAlignment="1" applyProtection="1">
      <alignment/>
      <protection/>
    </xf>
    <xf numFmtId="0" fontId="0" fillId="37" borderId="15" xfId="0" applyFont="1" applyFill="1" applyBorder="1" applyAlignment="1">
      <alignment/>
    </xf>
    <xf numFmtId="3" fontId="0" fillId="37" borderId="53" xfId="0" applyNumberFormat="1" applyFont="1" applyFill="1" applyBorder="1" applyAlignment="1">
      <alignment/>
    </xf>
    <xf numFmtId="3" fontId="18" fillId="0" borderId="24" xfId="0" applyNumberFormat="1" applyFont="1" applyBorder="1" applyAlignment="1" applyProtection="1">
      <alignment/>
      <protection/>
    </xf>
    <xf numFmtId="3" fontId="18" fillId="33" borderId="0" xfId="0" applyNumberFormat="1" applyFont="1" applyFill="1" applyBorder="1" applyAlignment="1" applyProtection="1">
      <alignment/>
      <protection/>
    </xf>
    <xf numFmtId="0" fontId="0" fillId="37" borderId="27" xfId="0" applyFont="1" applyFill="1" applyBorder="1" applyAlignment="1">
      <alignment horizontal="left"/>
    </xf>
    <xf numFmtId="0" fontId="0" fillId="37" borderId="28" xfId="0" applyFill="1" applyBorder="1" applyAlignment="1">
      <alignment/>
    </xf>
    <xf numFmtId="0" fontId="0" fillId="37" borderId="29" xfId="0" applyFill="1" applyBorder="1" applyAlignment="1">
      <alignment/>
    </xf>
    <xf numFmtId="0" fontId="0" fillId="37" borderId="51" xfId="0" applyFont="1" applyFill="1" applyBorder="1" applyAlignment="1" applyProtection="1">
      <alignment/>
      <protection/>
    </xf>
    <xf numFmtId="3" fontId="4" fillId="37" borderId="24" xfId="0" applyNumberFormat="1" applyFont="1" applyFill="1" applyBorder="1" applyAlignment="1" applyProtection="1">
      <alignment/>
      <protection/>
    </xf>
    <xf numFmtId="0" fontId="0" fillId="37" borderId="33" xfId="0" applyFont="1" applyFill="1" applyBorder="1" applyAlignment="1" applyProtection="1">
      <alignment/>
      <protection/>
    </xf>
    <xf numFmtId="0" fontId="0" fillId="37" borderId="33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3" fontId="0" fillId="37" borderId="0" xfId="0" applyNumberFormat="1" applyFont="1" applyFill="1" applyAlignment="1" applyProtection="1">
      <alignment/>
      <protection/>
    </xf>
    <xf numFmtId="0" fontId="0" fillId="37" borderId="13" xfId="0" applyFont="1" applyFill="1" applyBorder="1" applyAlignment="1">
      <alignment/>
    </xf>
    <xf numFmtId="0" fontId="8" fillId="0" borderId="0" xfId="0" applyFont="1" applyAlignment="1" applyProtection="1">
      <alignment/>
      <protection/>
    </xf>
    <xf numFmtId="0" fontId="0" fillId="37" borderId="24" xfId="0" applyFont="1" applyFill="1" applyBorder="1" applyAlignment="1" applyProtection="1">
      <alignment/>
      <protection/>
    </xf>
    <xf numFmtId="3" fontId="0" fillId="37" borderId="54" xfId="0" applyNumberFormat="1" applyFont="1" applyFill="1" applyBorder="1" applyAlignment="1" applyProtection="1">
      <alignment/>
      <protection/>
    </xf>
    <xf numFmtId="3" fontId="0" fillId="37" borderId="49" xfId="0" applyNumberFormat="1" applyFont="1" applyFill="1" applyBorder="1" applyAlignment="1" applyProtection="1">
      <alignment/>
      <protection/>
    </xf>
    <xf numFmtId="0" fontId="0" fillId="37" borderId="55" xfId="0" applyFont="1" applyFill="1" applyBorder="1" applyAlignment="1" applyProtection="1">
      <alignment/>
      <protection/>
    </xf>
    <xf numFmtId="3" fontId="0" fillId="37" borderId="56" xfId="0" applyNumberFormat="1" applyFont="1" applyFill="1" applyBorder="1" applyAlignment="1" applyProtection="1">
      <alignment/>
      <protection/>
    </xf>
    <xf numFmtId="0" fontId="0" fillId="37" borderId="57" xfId="0" applyFont="1" applyFill="1" applyBorder="1" applyAlignment="1" applyProtection="1">
      <alignment/>
      <protection/>
    </xf>
    <xf numFmtId="3" fontId="0" fillId="33" borderId="13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14" fontId="5" fillId="0" borderId="0" xfId="0" applyNumberFormat="1" applyFont="1" applyAlignment="1" applyProtection="1">
      <alignment horizontal="left"/>
      <protection/>
    </xf>
    <xf numFmtId="14" fontId="5" fillId="0" borderId="0" xfId="0" applyNumberFormat="1" applyFont="1" applyAlignment="1" applyProtection="1">
      <alignment/>
      <protection/>
    </xf>
    <xf numFmtId="3" fontId="18" fillId="0" borderId="0" xfId="0" applyNumberFormat="1" applyFont="1" applyAlignment="1" applyProtection="1">
      <alignment horizontal="right"/>
      <protection/>
    </xf>
    <xf numFmtId="166" fontId="18" fillId="0" borderId="0" xfId="0" applyNumberFormat="1" applyFont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Alignment="1" applyProtection="1">
      <alignment horizontal="left"/>
      <protection locked="0"/>
    </xf>
    <xf numFmtId="2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  <xf numFmtId="167" fontId="18" fillId="0" borderId="24" xfId="0" applyNumberFormat="1" applyFont="1" applyBorder="1" applyAlignment="1">
      <alignment horizontal="center"/>
    </xf>
    <xf numFmtId="0" fontId="27" fillId="0" borderId="0" xfId="0" applyFont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3" fontId="0" fillId="33" borderId="0" xfId="0" applyNumberFormat="1" applyFont="1" applyFill="1" applyBorder="1" applyAlignment="1" applyProtection="1">
      <alignment horizontal="center"/>
      <protection/>
    </xf>
    <xf numFmtId="3" fontId="0" fillId="0" borderId="12" xfId="0" applyNumberFormat="1" applyFont="1" applyBorder="1" applyAlignment="1" applyProtection="1">
      <alignment/>
      <protection/>
    </xf>
    <xf numFmtId="0" fontId="0" fillId="0" borderId="24" xfId="0" applyBorder="1" applyAlignment="1">
      <alignment/>
    </xf>
    <xf numFmtId="0" fontId="0" fillId="0" borderId="0" xfId="0" applyFont="1" applyAlignment="1" applyProtection="1">
      <alignment horizontal="right"/>
      <protection/>
    </xf>
    <xf numFmtId="3" fontId="18" fillId="37" borderId="23" xfId="0" applyNumberFormat="1" applyFont="1" applyFill="1" applyBorder="1" applyAlignment="1" applyProtection="1">
      <alignment/>
      <protection/>
    </xf>
    <xf numFmtId="3" fontId="18" fillId="37" borderId="24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2" fontId="0" fillId="0" borderId="24" xfId="0" applyNumberFormat="1" applyFont="1" applyBorder="1" applyAlignment="1" applyProtection="1">
      <alignment horizontal="center"/>
      <protection locked="0"/>
    </xf>
    <xf numFmtId="166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/>
    </xf>
    <xf numFmtId="0" fontId="2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9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3" fontId="0" fillId="0" borderId="24" xfId="0" applyNumberFormat="1" applyBorder="1" applyAlignment="1" applyProtection="1">
      <alignment/>
      <protection locked="0"/>
    </xf>
    <xf numFmtId="169" fontId="0" fillId="0" borderId="24" xfId="0" applyNumberFormat="1" applyBorder="1" applyAlignment="1" applyProtection="1">
      <alignment/>
      <protection locked="0"/>
    </xf>
    <xf numFmtId="170" fontId="0" fillId="0" borderId="24" xfId="0" applyNumberFormat="1" applyBorder="1" applyAlignment="1">
      <alignment horizontal="right"/>
    </xf>
    <xf numFmtId="170" fontId="0" fillId="0" borderId="24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70" fontId="0" fillId="0" borderId="24" xfId="0" applyNumberFormat="1" applyBorder="1" applyAlignment="1" applyProtection="1">
      <alignment/>
      <protection locked="0"/>
    </xf>
    <xf numFmtId="0" fontId="29" fillId="0" borderId="0" xfId="0" applyFont="1" applyAlignment="1">
      <alignment/>
    </xf>
    <xf numFmtId="170" fontId="4" fillId="0" borderId="29" xfId="0" applyNumberFormat="1" applyFont="1" applyBorder="1" applyAlignment="1">
      <alignment/>
    </xf>
    <xf numFmtId="171" fontId="4" fillId="0" borderId="29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0" fillId="0" borderId="15" xfId="0" applyNumberFormat="1" applyBorder="1" applyAlignment="1" applyProtection="1">
      <alignment/>
      <protection locked="0"/>
    </xf>
    <xf numFmtId="0" fontId="5" fillId="33" borderId="16" xfId="0" applyFont="1" applyFill="1" applyBorder="1" applyAlignment="1" applyProtection="1">
      <alignment/>
      <protection locked="0"/>
    </xf>
    <xf numFmtId="14" fontId="0" fillId="0" borderId="0" xfId="0" applyNumberFormat="1" applyFont="1" applyAlignment="1">
      <alignment/>
    </xf>
    <xf numFmtId="0" fontId="5" fillId="0" borderId="58" xfId="0" applyFont="1" applyBorder="1" applyAlignment="1">
      <alignment/>
    </xf>
    <xf numFmtId="0" fontId="5" fillId="0" borderId="59" xfId="0" applyFont="1" applyBorder="1" applyAlignment="1">
      <alignment/>
    </xf>
    <xf numFmtId="0" fontId="5" fillId="0" borderId="60" xfId="0" applyFont="1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58" xfId="0" applyBorder="1" applyAlignment="1">
      <alignment/>
    </xf>
    <xf numFmtId="0" fontId="5" fillId="0" borderId="58" xfId="0" applyFont="1" applyFill="1" applyBorder="1" applyAlignment="1">
      <alignment/>
    </xf>
    <xf numFmtId="0" fontId="0" fillId="0" borderId="58" xfId="0" applyFill="1" applyBorder="1" applyAlignment="1">
      <alignment/>
    </xf>
    <xf numFmtId="0" fontId="0" fillId="0" borderId="62" xfId="0" applyFill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5" fillId="0" borderId="58" xfId="0" applyFont="1" applyBorder="1" applyAlignment="1">
      <alignment/>
    </xf>
    <xf numFmtId="0" fontId="0" fillId="0" borderId="63" xfId="0" applyBorder="1" applyAlignment="1" applyProtection="1">
      <alignment/>
      <protection locked="0"/>
    </xf>
    <xf numFmtId="3" fontId="0" fillId="39" borderId="15" xfId="0" applyNumberFormat="1" applyFont="1" applyFill="1" applyBorder="1" applyAlignment="1" applyProtection="1">
      <alignment/>
      <protection locked="0"/>
    </xf>
    <xf numFmtId="3" fontId="0" fillId="0" borderId="24" xfId="0" applyNumberFormat="1" applyBorder="1" applyAlignment="1" applyProtection="1">
      <alignment horizontal="center"/>
      <protection/>
    </xf>
    <xf numFmtId="0" fontId="5" fillId="33" borderId="16" xfId="0" applyFont="1" applyFill="1" applyBorder="1" applyAlignment="1">
      <alignment/>
    </xf>
    <xf numFmtId="3" fontId="0" fillId="33" borderId="18" xfId="0" applyNumberFormat="1" applyFont="1" applyFill="1" applyBorder="1" applyAlignment="1" applyProtection="1">
      <alignment/>
      <protection/>
    </xf>
    <xf numFmtId="0" fontId="11" fillId="33" borderId="64" xfId="0" applyFont="1" applyFill="1" applyBorder="1" applyAlignment="1" applyProtection="1">
      <alignment/>
      <protection/>
    </xf>
    <xf numFmtId="3" fontId="0" fillId="33" borderId="65" xfId="0" applyNumberFormat="1" applyFont="1" applyFill="1" applyBorder="1" applyAlignment="1" applyProtection="1">
      <alignment/>
      <protection/>
    </xf>
    <xf numFmtId="3" fontId="0" fillId="33" borderId="66" xfId="0" applyNumberFormat="1" applyFont="1" applyFill="1" applyBorder="1" applyAlignment="1" applyProtection="1">
      <alignment horizontal="right"/>
      <protection/>
    </xf>
    <xf numFmtId="3" fontId="0" fillId="33" borderId="67" xfId="0" applyNumberFormat="1" applyFont="1" applyFill="1" applyBorder="1" applyAlignment="1" applyProtection="1">
      <alignment horizontal="right"/>
      <protection/>
    </xf>
    <xf numFmtId="0" fontId="5" fillId="33" borderId="13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3" fontId="0" fillId="33" borderId="0" xfId="0" applyNumberFormat="1" applyFont="1" applyFill="1" applyBorder="1" applyAlignment="1" applyProtection="1">
      <alignment horizontal="right"/>
      <protection/>
    </xf>
    <xf numFmtId="3" fontId="0" fillId="33" borderId="0" xfId="0" applyNumberFormat="1" applyFont="1" applyFill="1" applyBorder="1" applyAlignment="1" applyProtection="1">
      <alignment/>
      <protection locked="0"/>
    </xf>
    <xf numFmtId="0" fontId="0" fillId="33" borderId="0" xfId="0" applyFont="1" applyFill="1" applyBorder="1" applyAlignment="1">
      <alignment/>
    </xf>
    <xf numFmtId="3" fontId="0" fillId="40" borderId="0" xfId="0" applyNumberFormat="1" applyFont="1" applyFill="1" applyAlignment="1" applyProtection="1">
      <alignment/>
      <protection/>
    </xf>
    <xf numFmtId="3" fontId="0" fillId="34" borderId="13" xfId="0" applyNumberFormat="1" applyFont="1" applyFill="1" applyBorder="1" applyAlignment="1" applyProtection="1">
      <alignment/>
      <protection/>
    </xf>
    <xf numFmtId="0" fontId="0" fillId="40" borderId="68" xfId="0" applyFont="1" applyFill="1" applyBorder="1" applyAlignment="1">
      <alignment/>
    </xf>
    <xf numFmtId="3" fontId="0" fillId="40" borderId="68" xfId="0" applyNumberFormat="1" applyFont="1" applyFill="1" applyBorder="1" applyAlignment="1">
      <alignment/>
    </xf>
    <xf numFmtId="0" fontId="0" fillId="34" borderId="21" xfId="0" applyFill="1" applyBorder="1" applyAlignment="1">
      <alignment/>
    </xf>
    <xf numFmtId="3" fontId="0" fillId="34" borderId="12" xfId="0" applyNumberFormat="1" applyFont="1" applyFill="1" applyBorder="1" applyAlignment="1" applyProtection="1">
      <alignment/>
      <protection/>
    </xf>
    <xf numFmtId="3" fontId="0" fillId="40" borderId="69" xfId="0" applyNumberFormat="1" applyFont="1" applyFill="1" applyBorder="1" applyAlignment="1">
      <alignment/>
    </xf>
    <xf numFmtId="3" fontId="0" fillId="41" borderId="68" xfId="0" applyNumberFormat="1" applyFont="1" applyFill="1" applyBorder="1" applyAlignment="1" applyProtection="1">
      <alignment/>
      <protection/>
    </xf>
    <xf numFmtId="0" fontId="0" fillId="42" borderId="68" xfId="0" applyFont="1" applyFill="1" applyBorder="1" applyAlignment="1">
      <alignment/>
    </xf>
    <xf numFmtId="3" fontId="0" fillId="41" borderId="68" xfId="0" applyNumberFormat="1" applyFill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10" fontId="17" fillId="0" borderId="0" xfId="0" applyNumberFormat="1" applyFont="1" applyAlignment="1">
      <alignment/>
    </xf>
    <xf numFmtId="0" fontId="0" fillId="0" borderId="22" xfId="0" applyBorder="1" applyAlignment="1">
      <alignment/>
    </xf>
    <xf numFmtId="3" fontId="0" fillId="33" borderId="68" xfId="0" applyNumberFormat="1" applyFont="1" applyFill="1" applyBorder="1" applyAlignment="1" applyProtection="1">
      <alignment horizontal="right"/>
      <protection locked="0"/>
    </xf>
    <xf numFmtId="10" fontId="0" fillId="0" borderId="21" xfId="0" applyNumberFormat="1" applyBorder="1" applyAlignment="1" applyProtection="1">
      <alignment horizontal="center"/>
      <protection locked="0"/>
    </xf>
    <xf numFmtId="3" fontId="0" fillId="0" borderId="68" xfId="0" applyNumberFormat="1" applyFont="1" applyBorder="1" applyAlignment="1" applyProtection="1">
      <alignment horizontal="right"/>
      <protection/>
    </xf>
    <xf numFmtId="3" fontId="0" fillId="43" borderId="68" xfId="0" applyNumberFormat="1" applyFont="1" applyFill="1" applyBorder="1" applyAlignment="1" applyProtection="1">
      <alignment horizontal="right"/>
      <protection/>
    </xf>
    <xf numFmtId="3" fontId="0" fillId="0" borderId="63" xfId="0" applyNumberFormat="1" applyFont="1" applyBorder="1" applyAlignment="1" applyProtection="1">
      <alignment horizontal="right"/>
      <protection locked="0"/>
    </xf>
    <xf numFmtId="3" fontId="5" fillId="0" borderId="70" xfId="0" applyNumberFormat="1" applyFont="1" applyFill="1" applyBorder="1" applyAlignment="1" applyProtection="1">
      <alignment/>
      <protection/>
    </xf>
    <xf numFmtId="0" fontId="0" fillId="0" borderId="71" xfId="0" applyFont="1" applyBorder="1" applyAlignment="1">
      <alignment/>
    </xf>
    <xf numFmtId="0" fontId="0" fillId="0" borderId="69" xfId="0" applyFont="1" applyBorder="1" applyAlignment="1">
      <alignment/>
    </xf>
    <xf numFmtId="3" fontId="0" fillId="0" borderId="68" xfId="0" applyNumberFormat="1" applyFont="1" applyBorder="1" applyAlignment="1">
      <alignment/>
    </xf>
    <xf numFmtId="0" fontId="0" fillId="0" borderId="68" xfId="0" applyFont="1" applyBorder="1" applyAlignment="1">
      <alignment/>
    </xf>
    <xf numFmtId="0" fontId="0" fillId="0" borderId="68" xfId="0" applyFont="1" applyBorder="1" applyAlignment="1" applyProtection="1">
      <alignment/>
      <protection/>
    </xf>
    <xf numFmtId="3" fontId="0" fillId="0" borderId="68" xfId="0" applyNumberFormat="1" applyFont="1" applyBorder="1" applyAlignment="1" applyProtection="1">
      <alignment/>
      <protection/>
    </xf>
    <xf numFmtId="3" fontId="0" fillId="0" borderId="70" xfId="0" applyNumberFormat="1" applyFont="1" applyBorder="1" applyAlignment="1" applyProtection="1">
      <alignment/>
      <protection/>
    </xf>
    <xf numFmtId="3" fontId="0" fillId="0" borderId="71" xfId="0" applyNumberFormat="1" applyFont="1" applyBorder="1" applyAlignment="1" applyProtection="1">
      <alignment/>
      <protection/>
    </xf>
    <xf numFmtId="3" fontId="5" fillId="0" borderId="16" xfId="0" applyNumberFormat="1" applyFont="1" applyBorder="1" applyAlignment="1" applyProtection="1">
      <alignment/>
      <protection/>
    </xf>
    <xf numFmtId="10" fontId="5" fillId="0" borderId="16" xfId="0" applyNumberFormat="1" applyFont="1" applyBorder="1" applyAlignment="1" applyProtection="1">
      <alignment horizontal="center"/>
      <protection locked="0"/>
    </xf>
    <xf numFmtId="10" fontId="5" fillId="0" borderId="10" xfId="0" applyNumberFormat="1" applyFont="1" applyBorder="1" applyAlignment="1" applyProtection="1">
      <alignment horizontal="center"/>
      <protection locked="0"/>
    </xf>
    <xf numFmtId="10" fontId="5" fillId="0" borderId="24" xfId="0" applyNumberFormat="1" applyFont="1" applyBorder="1" applyAlignment="1" applyProtection="1">
      <alignment horizontal="center"/>
      <protection locked="0"/>
    </xf>
    <xf numFmtId="10" fontId="5" fillId="0" borderId="24" xfId="0" applyNumberFormat="1" applyFont="1" applyBorder="1" applyAlignment="1" applyProtection="1">
      <alignment/>
      <protection locked="0"/>
    </xf>
    <xf numFmtId="0" fontId="0" fillId="0" borderId="60" xfId="0" applyFont="1" applyBorder="1" applyAlignment="1" applyProtection="1">
      <alignment/>
      <protection/>
    </xf>
    <xf numFmtId="3" fontId="0" fillId="0" borderId="69" xfId="0" applyNumberFormat="1" applyFont="1" applyBorder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5" fillId="33" borderId="24" xfId="0" applyNumberFormat="1" applyFont="1" applyFill="1" applyBorder="1" applyAlignment="1" applyProtection="1">
      <alignment/>
      <protection/>
    </xf>
    <xf numFmtId="3" fontId="5" fillId="33" borderId="14" xfId="0" applyNumberFormat="1" applyFont="1" applyFill="1" applyBorder="1" applyAlignment="1" applyProtection="1">
      <alignment/>
      <protection/>
    </xf>
    <xf numFmtId="3" fontId="5" fillId="33" borderId="15" xfId="0" applyNumberFormat="1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3" fontId="5" fillId="33" borderId="17" xfId="0" applyNumberFormat="1" applyFont="1" applyFill="1" applyBorder="1" applyAlignment="1" applyProtection="1">
      <alignment/>
      <protection/>
    </xf>
    <xf numFmtId="3" fontId="5" fillId="33" borderId="20" xfId="0" applyNumberFormat="1" applyFont="1" applyFill="1" applyBorder="1" applyAlignment="1" applyProtection="1">
      <alignment/>
      <protection/>
    </xf>
    <xf numFmtId="3" fontId="5" fillId="37" borderId="29" xfId="0" applyNumberFormat="1" applyFont="1" applyFill="1" applyBorder="1" applyAlignment="1" applyProtection="1">
      <alignment/>
      <protection locked="0"/>
    </xf>
    <xf numFmtId="3" fontId="5" fillId="33" borderId="15" xfId="0" applyNumberFormat="1" applyFont="1" applyFill="1" applyBorder="1" applyAlignment="1" applyProtection="1">
      <alignment/>
      <protection locked="0"/>
    </xf>
    <xf numFmtId="0" fontId="68" fillId="0" borderId="0" xfId="0" applyFont="1" applyAlignment="1">
      <alignment/>
    </xf>
    <xf numFmtId="3" fontId="5" fillId="0" borderId="68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horizontal="center"/>
      <protection/>
    </xf>
    <xf numFmtId="10" fontId="5" fillId="33" borderId="14" xfId="0" applyNumberFormat="1" applyFont="1" applyFill="1" applyBorder="1" applyAlignment="1" applyProtection="1">
      <alignment horizontal="right"/>
      <protection/>
    </xf>
    <xf numFmtId="10" fontId="5" fillId="0" borderId="13" xfId="0" applyNumberFormat="1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0" fillId="0" borderId="71" xfId="0" applyFont="1" applyBorder="1" applyAlignment="1" applyProtection="1">
      <alignment/>
      <protection/>
    </xf>
    <xf numFmtId="0" fontId="0" fillId="0" borderId="58" xfId="0" applyFont="1" applyBorder="1" applyAlignment="1" applyProtection="1">
      <alignment/>
      <protection/>
    </xf>
    <xf numFmtId="0" fontId="0" fillId="0" borderId="59" xfId="0" applyFont="1" applyBorder="1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3" fontId="21" fillId="34" borderId="11" xfId="0" applyNumberFormat="1" applyFont="1" applyFill="1" applyBorder="1" applyAlignment="1">
      <alignment horizontal="left"/>
    </xf>
    <xf numFmtId="3" fontId="18" fillId="34" borderId="15" xfId="0" applyNumberFormat="1" applyFont="1" applyFill="1" applyBorder="1" applyAlignment="1" applyProtection="1">
      <alignment/>
      <protection/>
    </xf>
    <xf numFmtId="3" fontId="18" fillId="34" borderId="18" xfId="0" applyNumberFormat="1" applyFont="1" applyFill="1" applyBorder="1" applyAlignment="1" applyProtection="1">
      <alignment/>
      <protection/>
    </xf>
    <xf numFmtId="0" fontId="4" fillId="0" borderId="0" xfId="0" applyNumberFormat="1" applyFont="1" applyAlignment="1" applyProtection="1">
      <alignment horizontal="left"/>
      <protection/>
    </xf>
    <xf numFmtId="10" fontId="0" fillId="0" borderId="68" xfId="0" applyNumberFormat="1" applyBorder="1" applyAlignment="1" applyProtection="1">
      <alignment horizontal="center"/>
      <protection/>
    </xf>
    <xf numFmtId="3" fontId="5" fillId="0" borderId="19" xfId="0" applyNumberFormat="1" applyFont="1" applyBorder="1" applyAlignment="1" applyProtection="1">
      <alignment/>
      <protection/>
    </xf>
    <xf numFmtId="3" fontId="5" fillId="0" borderId="63" xfId="0" applyNumberFormat="1" applyFont="1" applyBorder="1" applyAlignment="1" applyProtection="1">
      <alignment/>
      <protection/>
    </xf>
    <xf numFmtId="3" fontId="5" fillId="0" borderId="72" xfId="0" applyNumberFormat="1" applyFont="1" applyBorder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10" fontId="0" fillId="0" borderId="68" xfId="0" applyNumberFormat="1" applyFont="1" applyBorder="1" applyAlignment="1" applyProtection="1">
      <alignment horizontal="center"/>
      <protection/>
    </xf>
    <xf numFmtId="10" fontId="0" fillId="0" borderId="14" xfId="0" applyNumberFormat="1" applyBorder="1" applyAlignment="1" applyProtection="1">
      <alignment horizontal="center"/>
      <protection/>
    </xf>
    <xf numFmtId="3" fontId="5" fillId="0" borderId="70" xfId="0" applyNumberFormat="1" applyFont="1" applyBorder="1" applyAlignment="1" applyProtection="1">
      <alignment/>
      <protection/>
    </xf>
    <xf numFmtId="3" fontId="23" fillId="0" borderId="71" xfId="0" applyNumberFormat="1" applyFont="1" applyBorder="1" applyAlignment="1" applyProtection="1">
      <alignment/>
      <protection/>
    </xf>
    <xf numFmtId="0" fontId="5" fillId="0" borderId="71" xfId="0" applyFont="1" applyBorder="1" applyAlignment="1" applyProtection="1">
      <alignment/>
      <protection/>
    </xf>
    <xf numFmtId="3" fontId="24" fillId="0" borderId="69" xfId="0" applyNumberFormat="1" applyFont="1" applyBorder="1" applyAlignment="1" applyProtection="1">
      <alignment/>
      <protection/>
    </xf>
    <xf numFmtId="3" fontId="5" fillId="0" borderId="71" xfId="0" applyNumberFormat="1" applyFont="1" applyBorder="1" applyAlignment="1" applyProtection="1">
      <alignment/>
      <protection/>
    </xf>
    <xf numFmtId="3" fontId="25" fillId="0" borderId="0" xfId="0" applyNumberFormat="1" applyFont="1" applyAlignment="1" applyProtection="1">
      <alignment/>
      <protection/>
    </xf>
    <xf numFmtId="3" fontId="0" fillId="0" borderId="13" xfId="0" applyNumberFormat="1" applyFont="1" applyBorder="1" applyAlignment="1" applyProtection="1">
      <alignment/>
      <protection locked="0"/>
    </xf>
    <xf numFmtId="3" fontId="5" fillId="33" borderId="21" xfId="0" applyNumberFormat="1" applyFont="1" applyFill="1" applyBorder="1" applyAlignment="1" applyProtection="1">
      <alignment horizontal="left"/>
      <protection locked="0"/>
    </xf>
    <xf numFmtId="0" fontId="0" fillId="0" borderId="23" xfId="0" applyBorder="1" applyAlignment="1">
      <alignment horizontal="left"/>
    </xf>
    <xf numFmtId="3" fontId="5" fillId="33" borderId="73" xfId="0" applyNumberFormat="1" applyFont="1" applyFill="1" applyBorder="1" applyAlignment="1" applyProtection="1">
      <alignment horizontal="left"/>
      <protection locked="0"/>
    </xf>
    <xf numFmtId="0" fontId="0" fillId="0" borderId="36" xfId="0" applyBorder="1" applyAlignment="1">
      <alignment horizontal="left"/>
    </xf>
    <xf numFmtId="3" fontId="9" fillId="33" borderId="21" xfId="0" applyNumberFormat="1" applyFont="1" applyFill="1" applyBorder="1" applyAlignment="1" applyProtection="1">
      <alignment/>
      <protection locked="0"/>
    </xf>
    <xf numFmtId="0" fontId="0" fillId="0" borderId="23" xfId="0" applyBorder="1" applyAlignment="1">
      <alignment/>
    </xf>
    <xf numFmtId="3" fontId="5" fillId="33" borderId="74" xfId="0" applyNumberFormat="1" applyFont="1" applyFill="1" applyBorder="1" applyAlignment="1" applyProtection="1">
      <alignment horizontal="left"/>
      <protection locked="0"/>
    </xf>
    <xf numFmtId="0" fontId="0" fillId="0" borderId="75" xfId="0" applyBorder="1" applyAlignment="1">
      <alignment horizontal="left"/>
    </xf>
    <xf numFmtId="3" fontId="5" fillId="33" borderId="21" xfId="0" applyNumberFormat="1" applyFont="1" applyFill="1" applyBorder="1" applyAlignment="1" applyProtection="1">
      <alignment/>
      <protection locked="0"/>
    </xf>
    <xf numFmtId="3" fontId="5" fillId="33" borderId="76" xfId="0" applyNumberFormat="1" applyFont="1" applyFill="1" applyBorder="1" applyAlignment="1" applyProtection="1">
      <alignment horizontal="left"/>
      <protection/>
    </xf>
    <xf numFmtId="0" fontId="0" fillId="0" borderId="77" xfId="0" applyBorder="1" applyAlignment="1">
      <alignment horizontal="left"/>
    </xf>
    <xf numFmtId="3" fontId="5" fillId="33" borderId="78" xfId="0" applyNumberFormat="1" applyFont="1" applyFill="1" applyBorder="1" applyAlignment="1" applyProtection="1">
      <alignment horizontal="left"/>
      <protection locked="0"/>
    </xf>
    <xf numFmtId="0" fontId="0" fillId="0" borderId="79" xfId="0" applyBorder="1" applyAlignment="1">
      <alignment horizontal="left"/>
    </xf>
    <xf numFmtId="3" fontId="5" fillId="33" borderId="76" xfId="0" applyNumberFormat="1" applyFont="1" applyFill="1" applyBorder="1" applyAlignment="1" applyProtection="1">
      <alignment horizontal="left"/>
      <protection locked="0"/>
    </xf>
    <xf numFmtId="0" fontId="0" fillId="0" borderId="80" xfId="0" applyBorder="1" applyAlignment="1">
      <alignment horizontal="left"/>
    </xf>
    <xf numFmtId="3" fontId="5" fillId="33" borderId="78" xfId="0" applyNumberFormat="1" applyFont="1" applyFill="1" applyBorder="1" applyAlignment="1" applyProtection="1">
      <alignment/>
      <protection locked="0"/>
    </xf>
    <xf numFmtId="0" fontId="0" fillId="0" borderId="79" xfId="0" applyBorder="1" applyAlignment="1">
      <alignment/>
    </xf>
    <xf numFmtId="3" fontId="8" fillId="33" borderId="14" xfId="0" applyNumberFormat="1" applyFont="1" applyFill="1" applyBorder="1" applyAlignment="1" applyProtection="1">
      <alignment horizontal="left" vertical="top"/>
      <protection locked="0"/>
    </xf>
    <xf numFmtId="0" fontId="8" fillId="33" borderId="14" xfId="0" applyFont="1" applyFill="1" applyBorder="1" applyAlignment="1" applyProtection="1">
      <alignment/>
      <protection locked="0"/>
    </xf>
    <xf numFmtId="3" fontId="8" fillId="33" borderId="14" xfId="0" applyNumberFormat="1" applyFont="1" applyFill="1" applyBorder="1" applyAlignment="1" applyProtection="1">
      <alignment/>
      <protection locked="0"/>
    </xf>
    <xf numFmtId="0" fontId="8" fillId="33" borderId="15" xfId="0" applyFont="1" applyFill="1" applyBorder="1" applyAlignment="1" applyProtection="1">
      <alignment horizontal="left" vertical="top" wrapText="1"/>
      <protection/>
    </xf>
    <xf numFmtId="3" fontId="8" fillId="33" borderId="15" xfId="0" applyNumberFormat="1" applyFont="1" applyFill="1" applyBorder="1" applyAlignment="1" applyProtection="1">
      <alignment/>
      <protection locked="0"/>
    </xf>
    <xf numFmtId="0" fontId="8" fillId="33" borderId="15" xfId="0" applyFont="1" applyFill="1" applyBorder="1" applyAlignment="1" applyProtection="1">
      <alignment/>
      <protection/>
    </xf>
    <xf numFmtId="0" fontId="5" fillId="0" borderId="23" xfId="0" applyFont="1" applyBorder="1" applyAlignment="1">
      <alignment horizontal="left"/>
    </xf>
    <xf numFmtId="3" fontId="5" fillId="33" borderId="76" xfId="0" applyNumberFormat="1" applyFont="1" applyFill="1" applyBorder="1" applyAlignment="1" applyProtection="1">
      <alignment/>
      <protection locked="0"/>
    </xf>
    <xf numFmtId="0" fontId="5" fillId="0" borderId="80" xfId="0" applyFont="1" applyBorder="1" applyAlignment="1">
      <alignment/>
    </xf>
    <xf numFmtId="0" fontId="8" fillId="33" borderId="15" xfId="0" applyFont="1" applyFill="1" applyBorder="1" applyAlignment="1" applyProtection="1">
      <alignment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5" fillId="0" borderId="58" xfId="0" applyFont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2" xfId="0" applyBorder="1" applyAlignment="1" applyProtection="1">
      <alignment/>
      <protection locked="0"/>
    </xf>
    <xf numFmtId="0" fontId="0" fillId="0" borderId="61" xfId="0" applyBorder="1" applyAlignment="1" applyProtection="1">
      <alignment/>
      <protection locked="0"/>
    </xf>
    <xf numFmtId="0" fontId="0" fillId="0" borderId="81" xfId="0" applyBorder="1" applyAlignment="1" applyProtection="1">
      <alignment/>
      <protection locked="0"/>
    </xf>
    <xf numFmtId="0" fontId="5" fillId="0" borderId="62" xfId="0" applyFont="1" applyBorder="1" applyAlignment="1" applyProtection="1">
      <alignment/>
      <protection locked="0"/>
    </xf>
    <xf numFmtId="3" fontId="0" fillId="0" borderId="62" xfId="0" applyNumberFormat="1" applyBorder="1" applyAlignment="1" applyProtection="1">
      <alignment/>
      <protection locked="0"/>
    </xf>
    <xf numFmtId="0" fontId="0" fillId="0" borderId="58" xfId="0" applyFill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81" xfId="0" applyBorder="1" applyAlignment="1">
      <alignment vertical="center"/>
    </xf>
    <xf numFmtId="3" fontId="0" fillId="0" borderId="58" xfId="0" applyNumberFormat="1" applyBorder="1" applyAlignment="1" applyProtection="1">
      <alignment vertical="center"/>
      <protection locked="0"/>
    </xf>
    <xf numFmtId="3" fontId="0" fillId="0" borderId="59" xfId="0" applyNumberFormat="1" applyBorder="1" applyAlignment="1" applyProtection="1">
      <alignment vertical="center"/>
      <protection locked="0"/>
    </xf>
    <xf numFmtId="3" fontId="0" fillId="0" borderId="60" xfId="0" applyNumberFormat="1" applyBorder="1" applyAlignment="1" applyProtection="1">
      <alignment vertical="center"/>
      <protection locked="0"/>
    </xf>
    <xf numFmtId="3" fontId="0" fillId="0" borderId="62" xfId="0" applyNumberFormat="1" applyBorder="1" applyAlignment="1" applyProtection="1">
      <alignment vertical="center"/>
      <protection locked="0"/>
    </xf>
    <xf numFmtId="3" fontId="0" fillId="0" borderId="61" xfId="0" applyNumberFormat="1" applyBorder="1" applyAlignment="1" applyProtection="1">
      <alignment vertical="center"/>
      <protection locked="0"/>
    </xf>
    <xf numFmtId="3" fontId="0" fillId="0" borderId="81" xfId="0" applyNumberFormat="1" applyBorder="1" applyAlignment="1" applyProtection="1">
      <alignment vertical="center"/>
      <protection locked="0"/>
    </xf>
    <xf numFmtId="0" fontId="0" fillId="0" borderId="62" xfId="0" applyBorder="1" applyAlignment="1" applyProtection="1">
      <alignment vertical="top" wrapText="1"/>
      <protection locked="0"/>
    </xf>
    <xf numFmtId="0" fontId="0" fillId="0" borderId="61" xfId="0" applyBorder="1" applyAlignment="1" applyProtection="1">
      <alignment vertical="top" wrapText="1"/>
      <protection locked="0"/>
    </xf>
    <xf numFmtId="0" fontId="0" fillId="0" borderId="81" xfId="0" applyBorder="1" applyAlignment="1" applyProtection="1">
      <alignment vertical="top" wrapText="1"/>
      <protection locked="0"/>
    </xf>
    <xf numFmtId="3" fontId="0" fillId="0" borderId="62" xfId="0" applyNumberFormat="1" applyBorder="1" applyAlignment="1" applyProtection="1">
      <alignment horizontal="center" vertical="center"/>
      <protection locked="0"/>
    </xf>
    <xf numFmtId="0" fontId="0" fillId="0" borderId="81" xfId="0" applyBorder="1" applyAlignment="1" applyProtection="1">
      <alignment horizontal="center" vertical="center"/>
      <protection locked="0"/>
    </xf>
    <xf numFmtId="172" fontId="0" fillId="0" borderId="0" xfId="0" applyNumberFormat="1" applyAlignment="1">
      <alignment horizontal="left"/>
    </xf>
    <xf numFmtId="3" fontId="0" fillId="0" borderId="62" xfId="0" applyNumberFormat="1" applyBorder="1" applyAlignment="1" applyProtection="1">
      <alignment horizontal="left"/>
      <protection locked="0"/>
    </xf>
    <xf numFmtId="3" fontId="0" fillId="0" borderId="61" xfId="0" applyNumberFormat="1" applyBorder="1" applyAlignment="1" applyProtection="1">
      <alignment horizontal="left"/>
      <protection locked="0"/>
    </xf>
    <xf numFmtId="3" fontId="0" fillId="0" borderId="81" xfId="0" applyNumberFormat="1" applyBorder="1" applyAlignment="1" applyProtection="1">
      <alignment horizontal="left"/>
      <protection locked="0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58" xfId="0" applyBorder="1" applyAlignment="1">
      <alignment/>
    </xf>
    <xf numFmtId="0" fontId="0" fillId="0" borderId="62" xfId="0" applyBorder="1" applyAlignment="1">
      <alignment/>
    </xf>
    <xf numFmtId="0" fontId="0" fillId="0" borderId="61" xfId="0" applyBorder="1" applyAlignment="1">
      <alignment/>
    </xf>
    <xf numFmtId="0" fontId="0" fillId="0" borderId="81" xfId="0" applyBorder="1" applyAlignment="1">
      <alignment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0" fontId="0" fillId="0" borderId="61" xfId="0" applyBorder="1" applyAlignment="1" applyProtection="1">
      <alignment vertical="center"/>
      <protection locked="0"/>
    </xf>
    <xf numFmtId="0" fontId="0" fillId="0" borderId="81" xfId="0" applyBorder="1" applyAlignment="1" applyProtection="1">
      <alignment vertical="center"/>
      <protection locked="0"/>
    </xf>
    <xf numFmtId="3" fontId="0" fillId="0" borderId="62" xfId="0" applyNumberFormat="1" applyFont="1" applyBorder="1" applyAlignment="1" applyProtection="1">
      <alignment horizontal="left"/>
      <protection locked="0"/>
    </xf>
    <xf numFmtId="3" fontId="0" fillId="0" borderId="61" xfId="0" applyNumberFormat="1" applyFont="1" applyBorder="1" applyAlignment="1" applyProtection="1">
      <alignment horizontal="left"/>
      <protection locked="0"/>
    </xf>
    <xf numFmtId="3" fontId="0" fillId="0" borderId="81" xfId="0" applyNumberFormat="1" applyFont="1" applyBorder="1" applyAlignment="1" applyProtection="1">
      <alignment horizontal="left"/>
      <protection locked="0"/>
    </xf>
    <xf numFmtId="0" fontId="0" fillId="0" borderId="58" xfId="0" applyBorder="1" applyAlignment="1">
      <alignment vertical="center"/>
    </xf>
    <xf numFmtId="3" fontId="0" fillId="0" borderId="64" xfId="0" applyNumberFormat="1" applyBorder="1" applyAlignment="1" applyProtection="1">
      <alignment vertical="center"/>
      <protection locked="0"/>
    </xf>
    <xf numFmtId="3" fontId="0" fillId="0" borderId="88" xfId="0" applyNumberFormat="1" applyBorder="1" applyAlignment="1" applyProtection="1">
      <alignment vertical="center"/>
      <protection locked="0"/>
    </xf>
    <xf numFmtId="3" fontId="0" fillId="0" borderId="65" xfId="0" applyNumberFormat="1" applyBorder="1" applyAlignment="1" applyProtection="1">
      <alignment vertical="center"/>
      <protection locked="0"/>
    </xf>
    <xf numFmtId="3" fontId="0" fillId="0" borderId="66" xfId="0" applyNumberFormat="1" applyBorder="1" applyAlignment="1" applyProtection="1">
      <alignment vertical="center"/>
      <protection locked="0"/>
    </xf>
    <xf numFmtId="3" fontId="0" fillId="0" borderId="89" xfId="0" applyNumberFormat="1" applyBorder="1" applyAlignment="1" applyProtection="1">
      <alignment vertical="center"/>
      <protection locked="0"/>
    </xf>
    <xf numFmtId="3" fontId="0" fillId="0" borderId="67" xfId="0" applyNumberFormat="1" applyBorder="1" applyAlignment="1" applyProtection="1">
      <alignment vertical="center"/>
      <protection locked="0"/>
    </xf>
    <xf numFmtId="0" fontId="18" fillId="0" borderId="58" xfId="0" applyFont="1" applyBorder="1" applyAlignment="1">
      <alignment vertical="center"/>
    </xf>
    <xf numFmtId="0" fontId="18" fillId="0" borderId="59" xfId="0" applyFont="1" applyBorder="1" applyAlignment="1">
      <alignment vertical="center"/>
    </xf>
    <xf numFmtId="0" fontId="18" fillId="0" borderId="62" xfId="0" applyFont="1" applyBorder="1" applyAlignment="1">
      <alignment vertical="center"/>
    </xf>
    <xf numFmtId="0" fontId="18" fillId="0" borderId="61" xfId="0" applyFont="1" applyBorder="1" applyAlignment="1">
      <alignment vertical="center"/>
    </xf>
    <xf numFmtId="0" fontId="0" fillId="0" borderId="90" xfId="0" applyBorder="1" applyAlignment="1">
      <alignment vertical="center"/>
    </xf>
    <xf numFmtId="0" fontId="0" fillId="0" borderId="91" xfId="0" applyBorder="1" applyAlignment="1">
      <alignment vertical="center"/>
    </xf>
  </cellXfs>
  <cellStyles count="51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Normal 2" xfId="49"/>
    <cellStyle name="Normal 3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Tusental 2" xfId="60"/>
    <cellStyle name="Utdata" xfId="61"/>
    <cellStyle name="Currency" xfId="62"/>
    <cellStyle name="Currency [0]" xfId="63"/>
    <cellStyle name="Varnings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EFEFE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2</xdr:col>
      <xdr:colOff>276225</xdr:colOff>
      <xdr:row>1</xdr:row>
      <xdr:rowOff>304800</xdr:rowOff>
    </xdr:to>
    <xdr:pic>
      <xdr:nvPicPr>
        <xdr:cNvPr id="1" name="SmlVillan cmyk_ny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514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257175</xdr:colOff>
      <xdr:row>2</xdr:row>
      <xdr:rowOff>152400</xdr:rowOff>
    </xdr:to>
    <xdr:pic>
      <xdr:nvPicPr>
        <xdr:cNvPr id="1" name="SmlVillan cmyk_ny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514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104775</xdr:rowOff>
    </xdr:from>
    <xdr:to>
      <xdr:col>2</xdr:col>
      <xdr:colOff>104775</xdr:colOff>
      <xdr:row>2</xdr:row>
      <xdr:rowOff>228600</xdr:rowOff>
    </xdr:to>
    <xdr:pic>
      <xdr:nvPicPr>
        <xdr:cNvPr id="1" name="SmlVillan cmyk_ny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1514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2</xdr:col>
      <xdr:colOff>238125</xdr:colOff>
      <xdr:row>2</xdr:row>
      <xdr:rowOff>180975</xdr:rowOff>
    </xdr:to>
    <xdr:pic>
      <xdr:nvPicPr>
        <xdr:cNvPr id="1" name="SmlVillan cmyk_ny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514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4</xdr:col>
      <xdr:colOff>76200</xdr:colOff>
      <xdr:row>3</xdr:row>
      <xdr:rowOff>85725</xdr:rowOff>
    </xdr:to>
    <xdr:pic>
      <xdr:nvPicPr>
        <xdr:cNvPr id="1" name="SmlVillan cmyk_ny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238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E250"/>
  <sheetViews>
    <sheetView showGridLines="0" showZeros="0" tabSelected="1" zoomScale="140" zoomScaleNormal="140" zoomScalePageLayoutView="0" workbookViewId="0" topLeftCell="A28">
      <selection activeCell="E36" sqref="E36"/>
    </sheetView>
  </sheetViews>
  <sheetFormatPr defaultColWidth="9.140625" defaultRowHeight="12.75"/>
  <cols>
    <col min="1" max="1" width="14.00390625" style="0" customWidth="1"/>
    <col min="2" max="2" width="4.8515625" style="0" customWidth="1"/>
    <col min="3" max="3" width="4.57421875" style="0" customWidth="1"/>
    <col min="4" max="6" width="11.57421875" style="0" customWidth="1"/>
    <col min="7" max="7" width="10.421875" style="0" customWidth="1"/>
    <col min="8" max="8" width="15.28125" style="1" customWidth="1"/>
    <col min="9" max="9" width="9.57421875" style="0" customWidth="1"/>
    <col min="10" max="13" width="8.8515625" style="0" hidden="1" customWidth="1"/>
  </cols>
  <sheetData>
    <row r="1" spans="1:25" ht="19.5" customHeight="1">
      <c r="A1" s="2"/>
      <c r="B1" s="2"/>
      <c r="C1" s="2"/>
      <c r="D1" s="3"/>
      <c r="E1" s="8" t="s">
        <v>334</v>
      </c>
      <c r="F1" s="4"/>
      <c r="G1" s="5"/>
      <c r="H1" s="6"/>
      <c r="I1" s="5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1"/>
    </row>
    <row r="2" spans="1:25" ht="27" customHeight="1">
      <c r="A2" s="2"/>
      <c r="B2" s="2"/>
      <c r="C2" s="2"/>
      <c r="D2" s="3"/>
      <c r="E2" s="8" t="s">
        <v>0</v>
      </c>
      <c r="F2" s="3"/>
      <c r="G2" s="5"/>
      <c r="H2" s="5"/>
      <c r="I2" s="5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1"/>
    </row>
    <row r="3" spans="1:24" s="15" customFormat="1" ht="10.5" customHeight="1">
      <c r="A3" s="9" t="s">
        <v>1</v>
      </c>
      <c r="B3" s="10"/>
      <c r="C3" s="11"/>
      <c r="D3" s="10" t="s">
        <v>2</v>
      </c>
      <c r="E3" s="12"/>
      <c r="F3" s="13" t="s">
        <v>3</v>
      </c>
      <c r="G3" s="9" t="s">
        <v>4</v>
      </c>
      <c r="H3" s="12"/>
      <c r="I3" s="13" t="s">
        <v>5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5" ht="12.75">
      <c r="A4" s="546" t="s">
        <v>6</v>
      </c>
      <c r="B4" s="546"/>
      <c r="C4" s="546"/>
      <c r="D4" s="547"/>
      <c r="E4" s="547"/>
      <c r="F4" s="16" t="s">
        <v>7</v>
      </c>
      <c r="G4" s="548" t="s">
        <v>387</v>
      </c>
      <c r="H4" s="548"/>
      <c r="I4" s="17">
        <v>45020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1"/>
    </row>
    <row r="5" spans="1:25" ht="12.75" customHeight="1">
      <c r="A5" s="549"/>
      <c r="B5" s="549"/>
      <c r="C5" s="549"/>
      <c r="D5" s="550"/>
      <c r="E5" s="550"/>
      <c r="F5" s="18" t="s">
        <v>8</v>
      </c>
      <c r="G5" s="551"/>
      <c r="H5" s="551"/>
      <c r="I5" s="19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1"/>
    </row>
    <row r="6" spans="1:24" s="15" customFormat="1" ht="9.75" customHeight="1">
      <c r="A6" s="20" t="s">
        <v>9</v>
      </c>
      <c r="B6" s="21"/>
      <c r="C6" s="22"/>
      <c r="D6" s="20" t="s">
        <v>10</v>
      </c>
      <c r="E6" s="23"/>
      <c r="F6" s="22"/>
      <c r="G6" s="24" t="s">
        <v>11</v>
      </c>
      <c r="H6" s="25"/>
      <c r="I6" s="26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s="28" customFormat="1" ht="12">
      <c r="A7" s="550" t="s">
        <v>385</v>
      </c>
      <c r="B7" s="550"/>
      <c r="C7" s="550"/>
      <c r="D7" s="550"/>
      <c r="E7" s="550"/>
      <c r="F7" s="550"/>
      <c r="G7" s="555" t="s">
        <v>386</v>
      </c>
      <c r="H7" s="555"/>
      <c r="I7" s="555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5" ht="9.75" customHeight="1">
      <c r="A8" s="29" t="s">
        <v>12</v>
      </c>
      <c r="B8" s="30"/>
      <c r="C8" s="31"/>
      <c r="D8" s="451" t="s">
        <v>13</v>
      </c>
      <c r="E8" s="451" t="s">
        <v>339</v>
      </c>
      <c r="F8" s="451" t="s">
        <v>14</v>
      </c>
      <c r="G8" s="29" t="s">
        <v>15</v>
      </c>
      <c r="H8" s="31"/>
      <c r="I8" s="32" t="s">
        <v>16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1"/>
    </row>
    <row r="9" spans="1:25" ht="15" customHeight="1">
      <c r="A9" s="33" t="s">
        <v>17</v>
      </c>
      <c r="B9" s="34"/>
      <c r="C9" s="35"/>
      <c r="D9" s="452" t="s">
        <v>18</v>
      </c>
      <c r="E9" s="452" t="s">
        <v>340</v>
      </c>
      <c r="F9" s="452" t="s">
        <v>19</v>
      </c>
      <c r="G9" s="37" t="s">
        <v>20</v>
      </c>
      <c r="H9" s="35"/>
      <c r="I9" s="36" t="s">
        <v>21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1"/>
    </row>
    <row r="10" spans="1:25" ht="15" customHeight="1">
      <c r="A10" s="29" t="s">
        <v>22</v>
      </c>
      <c r="B10" s="30"/>
      <c r="C10" s="31"/>
      <c r="D10" s="38"/>
      <c r="E10" s="39"/>
      <c r="F10" s="39">
        <v>2175000</v>
      </c>
      <c r="G10" s="529" t="s">
        <v>385</v>
      </c>
      <c r="H10" s="552"/>
      <c r="I10" s="492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1"/>
    </row>
    <row r="11" spans="1:25" ht="15" customHeight="1">
      <c r="A11" s="29" t="s">
        <v>10</v>
      </c>
      <c r="B11" s="30"/>
      <c r="C11" s="31"/>
      <c r="D11" s="38"/>
      <c r="E11" s="39"/>
      <c r="F11" s="39"/>
      <c r="G11" s="529"/>
      <c r="H11" s="552"/>
      <c r="I11" s="492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1"/>
    </row>
    <row r="12" spans="1:25" ht="15" customHeight="1" thickBot="1">
      <c r="A12" s="40" t="s">
        <v>23</v>
      </c>
      <c r="B12" s="41"/>
      <c r="C12" s="42"/>
      <c r="D12" s="43"/>
      <c r="E12" s="44"/>
      <c r="F12" s="43">
        <f>'Kalkyl-Tillval'!H46</f>
        <v>27800</v>
      </c>
      <c r="G12" s="553" t="s">
        <v>24</v>
      </c>
      <c r="H12" s="554"/>
      <c r="I12" s="493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"/>
    </row>
    <row r="13" spans="1:25" ht="13.5" customHeight="1">
      <c r="A13" s="45" t="s">
        <v>25</v>
      </c>
      <c r="B13" s="46"/>
      <c r="C13" s="47"/>
      <c r="D13" s="48" t="s">
        <v>12</v>
      </c>
      <c r="E13" s="49"/>
      <c r="F13" s="50"/>
      <c r="G13" s="51" t="s">
        <v>26</v>
      </c>
      <c r="H13" s="52"/>
      <c r="I13" s="494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1"/>
    </row>
    <row r="14" spans="1:25" ht="12.75" customHeight="1" thickBot="1">
      <c r="A14" s="33" t="s">
        <v>27</v>
      </c>
      <c r="B14" s="34"/>
      <c r="C14" s="54"/>
      <c r="D14" s="53">
        <f>SUM(D10:D12)</f>
        <v>0</v>
      </c>
      <c r="E14" s="53">
        <f>SUM(E10:E12)</f>
        <v>0</v>
      </c>
      <c r="F14" s="53">
        <f>SUM(F10:F12)</f>
        <v>2202800</v>
      </c>
      <c r="G14" s="55">
        <f>D14+E14+F14</f>
        <v>2202800</v>
      </c>
      <c r="H14" s="56"/>
      <c r="I14" s="495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1"/>
    </row>
    <row r="15" spans="1:25" ht="15" customHeight="1">
      <c r="A15" s="29" t="s">
        <v>321</v>
      </c>
      <c r="B15" s="30"/>
      <c r="C15" s="31"/>
      <c r="D15" s="39"/>
      <c r="E15" s="39"/>
      <c r="F15" s="39" t="s">
        <v>12</v>
      </c>
      <c r="G15" s="531" t="s">
        <v>381</v>
      </c>
      <c r="H15" s="532"/>
      <c r="I15" s="492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1"/>
    </row>
    <row r="16" spans="1:25" ht="15" customHeight="1">
      <c r="A16" s="29" t="s">
        <v>28</v>
      </c>
      <c r="B16" s="30"/>
      <c r="C16" s="31"/>
      <c r="D16" s="39"/>
      <c r="E16" s="39">
        <v>397000</v>
      </c>
      <c r="F16" s="39"/>
      <c r="G16" s="537" t="s">
        <v>322</v>
      </c>
      <c r="H16" s="534"/>
      <c r="I16" s="492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1"/>
    </row>
    <row r="17" spans="1:25" ht="15" customHeight="1">
      <c r="A17" s="71" t="s">
        <v>29</v>
      </c>
      <c r="B17" s="30"/>
      <c r="C17" s="31"/>
      <c r="D17" s="39"/>
      <c r="E17" s="39"/>
      <c r="F17" s="39"/>
      <c r="G17" s="537" t="s">
        <v>322</v>
      </c>
      <c r="H17" s="534"/>
      <c r="I17" s="4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1"/>
    </row>
    <row r="18" spans="1:25" ht="15" customHeight="1">
      <c r="A18" s="71" t="s">
        <v>331</v>
      </c>
      <c r="B18" s="30"/>
      <c r="C18" s="31"/>
      <c r="D18" s="39"/>
      <c r="E18" s="39"/>
      <c r="F18" s="39"/>
      <c r="G18" s="537" t="s">
        <v>322</v>
      </c>
      <c r="H18" s="534"/>
      <c r="I18" s="492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1"/>
    </row>
    <row r="19" spans="1:25" ht="15" customHeight="1">
      <c r="A19" s="71" t="s">
        <v>30</v>
      </c>
      <c r="B19" s="30"/>
      <c r="C19" s="31"/>
      <c r="D19" s="39"/>
      <c r="E19" s="39"/>
      <c r="F19" s="39" t="s">
        <v>12</v>
      </c>
      <c r="G19" s="537" t="s">
        <v>322</v>
      </c>
      <c r="H19" s="534"/>
      <c r="I19" s="492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1"/>
    </row>
    <row r="20" spans="1:25" ht="15" customHeight="1">
      <c r="A20" s="71" t="s">
        <v>31</v>
      </c>
      <c r="B20" s="30"/>
      <c r="C20" s="31"/>
      <c r="D20" s="39"/>
      <c r="E20" s="39"/>
      <c r="F20" s="39"/>
      <c r="G20" s="537" t="s">
        <v>322</v>
      </c>
      <c r="H20" s="534"/>
      <c r="I20" s="492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1"/>
    </row>
    <row r="21" spans="1:25" ht="15" customHeight="1">
      <c r="A21" s="71" t="s">
        <v>270</v>
      </c>
      <c r="B21" s="41"/>
      <c r="C21" s="42"/>
      <c r="D21" s="44"/>
      <c r="E21" s="44"/>
      <c r="F21" s="44"/>
      <c r="G21" s="537" t="s">
        <v>322</v>
      </c>
      <c r="H21" s="534"/>
      <c r="I21" s="493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1"/>
    </row>
    <row r="22" spans="1:25" ht="15" customHeight="1" thickBot="1">
      <c r="A22" s="64" t="s">
        <v>32</v>
      </c>
      <c r="B22" s="58"/>
      <c r="C22" s="59"/>
      <c r="D22" s="60"/>
      <c r="E22" s="44"/>
      <c r="F22" s="60"/>
      <c r="G22" s="544" t="s">
        <v>322</v>
      </c>
      <c r="H22" s="545"/>
      <c r="I22" s="496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61"/>
    </row>
    <row r="23" spans="1:25" ht="12.75" customHeight="1">
      <c r="A23" s="45" t="s">
        <v>33</v>
      </c>
      <c r="B23" s="46"/>
      <c r="C23" s="47"/>
      <c r="D23" s="49"/>
      <c r="E23" s="49"/>
      <c r="F23" s="445"/>
      <c r="G23" s="447" t="s">
        <v>26</v>
      </c>
      <c r="H23" s="448"/>
      <c r="I23" s="49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1"/>
    </row>
    <row r="24" spans="1:25" ht="15" customHeight="1" thickBot="1">
      <c r="A24" s="33" t="s">
        <v>34</v>
      </c>
      <c r="B24" s="34"/>
      <c r="C24" s="54"/>
      <c r="D24" s="57">
        <f>SUM(D15:D22)</f>
        <v>0</v>
      </c>
      <c r="E24" s="57">
        <f>SUM(E15:E22)</f>
        <v>397000</v>
      </c>
      <c r="F24" s="446">
        <f>SUM(F15:F22)</f>
        <v>0</v>
      </c>
      <c r="G24" s="449">
        <f>D24+E24+F24</f>
        <v>397000</v>
      </c>
      <c r="H24" s="450"/>
      <c r="I24" s="498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1"/>
    </row>
    <row r="25" spans="1:25" ht="15" customHeight="1">
      <c r="A25" s="40" t="s">
        <v>35</v>
      </c>
      <c r="B25" s="41"/>
      <c r="C25" s="42"/>
      <c r="D25" s="44"/>
      <c r="E25" s="44"/>
      <c r="F25" s="44">
        <v>600000</v>
      </c>
      <c r="G25" s="535" t="s">
        <v>388</v>
      </c>
      <c r="H25" s="536"/>
      <c r="I25" s="493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1"/>
    </row>
    <row r="26" spans="1:25" ht="15" customHeight="1">
      <c r="A26" s="40" t="s">
        <v>36</v>
      </c>
      <c r="B26" s="41"/>
      <c r="C26" s="42"/>
      <c r="D26" s="43">
        <f>ROUND(IF(D25&lt;1,0,D25*0.015+825+50),-2)</f>
        <v>0</v>
      </c>
      <c r="E26" s="43">
        <f>ROUND(IF(E25&lt;1,0,E25*0.015+825+50),-2)</f>
        <v>0</v>
      </c>
      <c r="F26" s="43">
        <f>ROUND(IF(F25&lt;1,0,F25*0.015+825+50),-2)</f>
        <v>9900</v>
      </c>
      <c r="G26" s="529" t="s">
        <v>383</v>
      </c>
      <c r="H26" s="530"/>
      <c r="I26" s="493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1"/>
    </row>
    <row r="27" spans="1:25" ht="15" customHeight="1">
      <c r="A27" s="40" t="s">
        <v>37</v>
      </c>
      <c r="B27" s="41"/>
      <c r="C27" s="42"/>
      <c r="D27" s="44"/>
      <c r="E27" s="44">
        <v>60000</v>
      </c>
      <c r="F27" s="44" t="s">
        <v>12</v>
      </c>
      <c r="G27" s="529" t="s">
        <v>379</v>
      </c>
      <c r="H27" s="530"/>
      <c r="I27" s="493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1"/>
    </row>
    <row r="28" spans="1:25" ht="15" customHeight="1">
      <c r="A28" s="64" t="s">
        <v>323</v>
      </c>
      <c r="B28" s="41"/>
      <c r="C28" s="42"/>
      <c r="D28" s="44"/>
      <c r="E28" s="44"/>
      <c r="F28" s="44"/>
      <c r="G28" s="529" t="s">
        <v>380</v>
      </c>
      <c r="H28" s="530"/>
      <c r="I28" s="493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1"/>
    </row>
    <row r="29" spans="1:25" ht="15" customHeight="1">
      <c r="A29" s="40" t="s">
        <v>324</v>
      </c>
      <c r="B29" s="41"/>
      <c r="C29" s="42"/>
      <c r="D29" s="44"/>
      <c r="E29" s="44">
        <v>180000</v>
      </c>
      <c r="F29" s="44" t="s">
        <v>12</v>
      </c>
      <c r="G29" s="529" t="s">
        <v>384</v>
      </c>
      <c r="H29" s="530"/>
      <c r="I29" s="493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1"/>
    </row>
    <row r="30" spans="1:25" ht="15" customHeight="1">
      <c r="A30" s="40" t="s">
        <v>325</v>
      </c>
      <c r="B30" s="41"/>
      <c r="C30" s="42"/>
      <c r="D30" s="44"/>
      <c r="E30" s="44">
        <v>40000</v>
      </c>
      <c r="F30" s="44" t="s">
        <v>12</v>
      </c>
      <c r="G30" s="529" t="s">
        <v>374</v>
      </c>
      <c r="H30" s="530"/>
      <c r="I30" s="493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1"/>
    </row>
    <row r="31" spans="1:25" ht="15" customHeight="1">
      <c r="A31" s="64" t="s">
        <v>326</v>
      </c>
      <c r="B31" s="41"/>
      <c r="C31" s="42"/>
      <c r="D31" s="44"/>
      <c r="E31" s="44"/>
      <c r="F31" s="44"/>
      <c r="G31" s="529"/>
      <c r="H31" s="530"/>
      <c r="I31" s="493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1"/>
    </row>
    <row r="32" spans="1:25" ht="15" customHeight="1">
      <c r="A32" s="71" t="s">
        <v>327</v>
      </c>
      <c r="B32" s="30"/>
      <c r="C32" s="31"/>
      <c r="D32" s="39"/>
      <c r="E32" s="39">
        <v>25000</v>
      </c>
      <c r="F32" s="39"/>
      <c r="G32" s="537" t="s">
        <v>382</v>
      </c>
      <c r="H32" s="534"/>
      <c r="I32" s="492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1"/>
    </row>
    <row r="33" spans="1:25" ht="15" customHeight="1">
      <c r="A33" s="64" t="s">
        <v>38</v>
      </c>
      <c r="B33" s="58"/>
      <c r="C33" s="42"/>
      <c r="D33" s="44"/>
      <c r="E33" s="44"/>
      <c r="F33" s="44"/>
      <c r="G33" s="529" t="s">
        <v>328</v>
      </c>
      <c r="H33" s="530"/>
      <c r="I33" s="493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1"/>
    </row>
    <row r="34" spans="1:25" ht="15" customHeight="1">
      <c r="A34" s="64" t="s">
        <v>375</v>
      </c>
      <c r="B34" s="58"/>
      <c r="C34" s="42"/>
      <c r="D34" s="44"/>
      <c r="E34" s="44">
        <v>25000</v>
      </c>
      <c r="F34" s="44"/>
      <c r="G34" s="529" t="s">
        <v>375</v>
      </c>
      <c r="H34" s="530"/>
      <c r="I34" s="493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1"/>
    </row>
    <row r="35" spans="1:25" ht="15" customHeight="1">
      <c r="A35" s="426" t="s">
        <v>39</v>
      </c>
      <c r="B35" s="63"/>
      <c r="C35" s="42"/>
      <c r="D35" s="44"/>
      <c r="E35" s="44">
        <v>120000</v>
      </c>
      <c r="F35" s="44"/>
      <c r="G35" s="529" t="s">
        <v>376</v>
      </c>
      <c r="H35" s="530"/>
      <c r="I35" s="493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1"/>
    </row>
    <row r="36" spans="1:25" ht="15" customHeight="1">
      <c r="A36" s="62" t="s">
        <v>268</v>
      </c>
      <c r="B36" s="58"/>
      <c r="C36" s="42"/>
      <c r="D36" s="44"/>
      <c r="E36" s="44">
        <v>22000</v>
      </c>
      <c r="F36" s="44">
        <v>0</v>
      </c>
      <c r="G36" s="529" t="s">
        <v>377</v>
      </c>
      <c r="H36" s="530"/>
      <c r="I36" s="493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1"/>
    </row>
    <row r="37" spans="1:25" ht="15" customHeight="1">
      <c r="A37" s="62" t="s">
        <v>40</v>
      </c>
      <c r="B37" s="58"/>
      <c r="C37" s="42"/>
      <c r="D37" s="44"/>
      <c r="E37" s="44"/>
      <c r="F37" s="44"/>
      <c r="G37" s="529"/>
      <c r="H37" s="530"/>
      <c r="I37" s="493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1"/>
    </row>
    <row r="38" spans="1:25" ht="15" customHeight="1">
      <c r="A38" s="64" t="s">
        <v>329</v>
      </c>
      <c r="B38" s="58"/>
      <c r="C38" s="42"/>
      <c r="D38" s="44"/>
      <c r="E38" s="44"/>
      <c r="F38" s="44"/>
      <c r="G38" s="529"/>
      <c r="H38" s="530"/>
      <c r="I38" s="493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1"/>
    </row>
    <row r="39" spans="1:25" ht="15" customHeight="1" thickBot="1">
      <c r="A39" s="64" t="s">
        <v>330</v>
      </c>
      <c r="B39" s="58"/>
      <c r="C39" s="42"/>
      <c r="D39" s="44"/>
      <c r="E39" s="44"/>
      <c r="F39" s="44"/>
      <c r="G39" s="540"/>
      <c r="H39" s="541"/>
      <c r="I39" s="493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1"/>
    </row>
    <row r="40" spans="1:25" ht="15" customHeight="1">
      <c r="A40" s="45" t="s">
        <v>41</v>
      </c>
      <c r="B40" s="46"/>
      <c r="C40" s="47"/>
      <c r="D40" s="49"/>
      <c r="E40" s="49"/>
      <c r="F40" s="445"/>
      <c r="G40" s="447" t="s">
        <v>26</v>
      </c>
      <c r="H40" s="448"/>
      <c r="I40" s="49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1"/>
    </row>
    <row r="41" spans="1:25" ht="15" customHeight="1" thickBot="1">
      <c r="A41" s="33" t="s">
        <v>42</v>
      </c>
      <c r="B41" s="34"/>
      <c r="C41" s="54"/>
      <c r="D41" s="57">
        <f>SUM(D25:D39)</f>
        <v>0</v>
      </c>
      <c r="E41" s="57">
        <f>SUM(E25:E39)</f>
        <v>472000</v>
      </c>
      <c r="F41" s="57">
        <f>SUM(F25:F39)</f>
        <v>609900</v>
      </c>
      <c r="G41" s="449">
        <f>D41+E41+F41</f>
        <v>1081900</v>
      </c>
      <c r="H41" s="450"/>
      <c r="I41" s="498"/>
      <c r="J41" s="7"/>
      <c r="K41" t="s">
        <v>43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1"/>
    </row>
    <row r="42" spans="1:25" ht="15" customHeight="1" thickBot="1">
      <c r="A42" s="9" t="s">
        <v>44</v>
      </c>
      <c r="B42" s="10"/>
      <c r="C42" s="65"/>
      <c r="D42" s="38"/>
      <c r="E42" s="43">
        <f>IF(G14=0,0,ROUND(M42*0.02+500,-2))</f>
        <v>63800</v>
      </c>
      <c r="F42" s="38"/>
      <c r="G42" s="535" t="s">
        <v>378</v>
      </c>
      <c r="H42" s="536"/>
      <c r="I42" s="492"/>
      <c r="J42" s="7"/>
      <c r="K42" s="66">
        <f>(G14+G24+50000)</f>
        <v>2649800</v>
      </c>
      <c r="L42" s="7"/>
      <c r="M42" s="66">
        <f>(G14+G24+G41+50000-'Kalkyl-Boende'!H24)</f>
        <v>3162700</v>
      </c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1"/>
    </row>
    <row r="43" spans="1:25" ht="15" customHeight="1" thickBot="1">
      <c r="A43" s="9" t="s">
        <v>45</v>
      </c>
      <c r="B43" s="10"/>
      <c r="C43" s="67">
        <v>4.19</v>
      </c>
      <c r="D43" s="68"/>
      <c r="E43" s="69">
        <f>IF(G14=0,0,ROUND((K42-I49)*C43/100*2/12+K44*C43/100*4/12,-2))</f>
        <v>33600</v>
      </c>
      <c r="F43" s="38"/>
      <c r="G43" s="529" t="s">
        <v>46</v>
      </c>
      <c r="H43" s="530"/>
      <c r="I43" s="492"/>
      <c r="J43" s="7"/>
      <c r="K43" t="s">
        <v>47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1"/>
    </row>
    <row r="44" spans="1:25" ht="15" customHeight="1" thickBot="1">
      <c r="A44" s="62" t="s">
        <v>48</v>
      </c>
      <c r="B44" s="58"/>
      <c r="C44" s="70"/>
      <c r="D44" s="43"/>
      <c r="E44" s="43">
        <f>-TRUNC(E43*0.3,-2)</f>
        <v>-10000</v>
      </c>
      <c r="F44" s="43"/>
      <c r="G44" s="542"/>
      <c r="H44" s="543"/>
      <c r="I44" s="492"/>
      <c r="J44" s="7"/>
      <c r="K44" s="66">
        <f>G41</f>
        <v>1081900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1"/>
    </row>
    <row r="45" spans="1:25" ht="15" customHeight="1">
      <c r="A45" s="45" t="s">
        <v>25</v>
      </c>
      <c r="B45" s="46"/>
      <c r="C45" s="47"/>
      <c r="D45" s="49"/>
      <c r="E45" s="49"/>
      <c r="F45" s="49"/>
      <c r="G45" s="51" t="s">
        <v>26</v>
      </c>
      <c r="H45" s="52"/>
      <c r="I45" s="494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1"/>
    </row>
    <row r="46" spans="1:25" ht="15" customHeight="1" thickBot="1">
      <c r="A46" s="33" t="s">
        <v>49</v>
      </c>
      <c r="B46" s="34"/>
      <c r="C46" s="54"/>
      <c r="D46" s="57">
        <f>SUM(D42:D44)</f>
        <v>0</v>
      </c>
      <c r="E46" s="57">
        <f>SUM(E42:E44)</f>
        <v>87400</v>
      </c>
      <c r="F46" s="57">
        <f>SUM(F42:F44)</f>
        <v>0</v>
      </c>
      <c r="G46" s="55">
        <f>D46+E46+F46</f>
        <v>87400</v>
      </c>
      <c r="H46" s="56"/>
      <c r="I46" s="495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1"/>
    </row>
    <row r="47" spans="1:25" ht="15" customHeight="1">
      <c r="A47" s="29" t="s">
        <v>50</v>
      </c>
      <c r="B47" s="30"/>
      <c r="C47" s="31"/>
      <c r="D47" s="39"/>
      <c r="E47" s="39"/>
      <c r="F47" s="39"/>
      <c r="G47" s="531"/>
      <c r="H47" s="532"/>
      <c r="I47" s="492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1"/>
    </row>
    <row r="48" spans="1:25" ht="15" customHeight="1" thickBot="1">
      <c r="A48" s="71" t="s">
        <v>51</v>
      </c>
      <c r="B48" s="72"/>
      <c r="C48" s="31"/>
      <c r="D48" s="39" t="s">
        <v>12</v>
      </c>
      <c r="E48" s="39"/>
      <c r="F48" s="39"/>
      <c r="G48" s="533"/>
      <c r="H48" s="534"/>
      <c r="I48" s="492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1"/>
    </row>
    <row r="49" spans="1:25" ht="15" customHeight="1" thickBot="1">
      <c r="A49" s="62" t="s">
        <v>52</v>
      </c>
      <c r="B49" s="58"/>
      <c r="C49" s="73"/>
      <c r="D49" s="74"/>
      <c r="E49" s="74"/>
      <c r="F49" s="74"/>
      <c r="G49" s="538" t="s">
        <v>53</v>
      </c>
      <c r="H49" s="539"/>
      <c r="I49" s="499">
        <v>0</v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1"/>
    </row>
    <row r="50" spans="1:25" ht="12.75">
      <c r="A50" s="45" t="s">
        <v>54</v>
      </c>
      <c r="B50" s="46"/>
      <c r="C50" s="75"/>
      <c r="D50" s="49"/>
      <c r="E50" s="49"/>
      <c r="F50" s="49"/>
      <c r="G50" s="51" t="s">
        <v>26</v>
      </c>
      <c r="H50" s="52"/>
      <c r="I50" s="494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1"/>
    </row>
    <row r="51" spans="1:25" ht="12.75">
      <c r="A51" s="33" t="s">
        <v>55</v>
      </c>
      <c r="B51" s="34"/>
      <c r="C51" s="35"/>
      <c r="D51" s="57">
        <f>SUM(D47:D49)</f>
        <v>0</v>
      </c>
      <c r="E51" s="57">
        <f>SUM(E47:E49)</f>
        <v>0</v>
      </c>
      <c r="F51" s="57">
        <f>SUM(F47:F49)</f>
        <v>0</v>
      </c>
      <c r="G51" s="55">
        <f>D51+E51+F51</f>
        <v>0</v>
      </c>
      <c r="H51" s="56"/>
      <c r="I51" s="495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1"/>
    </row>
    <row r="52" spans="1:25" ht="9.75" customHeight="1">
      <c r="A52" s="76"/>
      <c r="B52" s="77"/>
      <c r="C52" s="78"/>
      <c r="D52" s="76"/>
      <c r="E52" s="77"/>
      <c r="F52" s="78"/>
      <c r="G52" s="79" t="s">
        <v>56</v>
      </c>
      <c r="H52" s="80"/>
      <c r="I52" s="32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1"/>
    </row>
    <row r="53" spans="1:25" ht="13.5" thickBot="1">
      <c r="A53" s="33" t="s">
        <v>57</v>
      </c>
      <c r="B53" s="34"/>
      <c r="C53" s="35"/>
      <c r="D53" s="37"/>
      <c r="E53" s="81"/>
      <c r="F53" s="35"/>
      <c r="G53" s="55">
        <f>G51+G46+G41+G24+G14</f>
        <v>3769100</v>
      </c>
      <c r="H53" s="56"/>
      <c r="I53" s="500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1"/>
    </row>
    <row r="54" spans="1:25" ht="12.75">
      <c r="A54" s="455" t="s">
        <v>341</v>
      </c>
      <c r="B54" s="46"/>
      <c r="C54" s="85"/>
      <c r="D54" s="85"/>
      <c r="E54" s="85"/>
      <c r="F54" s="85"/>
      <c r="G54" s="453"/>
      <c r="H54" s="453"/>
      <c r="I54" s="454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1"/>
    </row>
    <row r="55" spans="1:25" ht="12.75">
      <c r="A55" s="455" t="s">
        <v>338</v>
      </c>
      <c r="B55" s="46"/>
      <c r="C55" s="85"/>
      <c r="D55" s="85"/>
      <c r="E55" s="85"/>
      <c r="F55" s="85"/>
      <c r="G55" s="453"/>
      <c r="H55" s="453"/>
      <c r="I55" s="454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1"/>
    </row>
    <row r="56" spans="1:9" ht="12.75">
      <c r="A56" s="82" t="s">
        <v>373</v>
      </c>
      <c r="B56" s="82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3:9" ht="12.75">
      <c r="C61" s="3"/>
      <c r="D61" s="3"/>
      <c r="E61" s="3"/>
      <c r="F61" s="3"/>
      <c r="G61" s="3"/>
      <c r="H61" s="3"/>
      <c r="I61" s="3"/>
    </row>
    <row r="62" ht="12.75">
      <c r="H62"/>
    </row>
    <row r="63" ht="12.75">
      <c r="H63"/>
    </row>
    <row r="64" ht="12.75">
      <c r="H64"/>
    </row>
    <row r="65" ht="12.75">
      <c r="H65"/>
    </row>
    <row r="66" ht="12.75">
      <c r="H66"/>
    </row>
    <row r="67" ht="12.75">
      <c r="H67"/>
    </row>
    <row r="68" ht="12.75">
      <c r="H68"/>
    </row>
    <row r="69" ht="12.75">
      <c r="H69"/>
    </row>
    <row r="70" ht="12.75">
      <c r="H70"/>
    </row>
    <row r="71" ht="12.75">
      <c r="H71"/>
    </row>
    <row r="72" ht="12.75">
      <c r="H72"/>
    </row>
    <row r="73" ht="12.75">
      <c r="H73"/>
    </row>
    <row r="74" ht="12.75">
      <c r="H74"/>
    </row>
    <row r="75" ht="12.75">
      <c r="H75"/>
    </row>
    <row r="76" ht="12.75">
      <c r="H76"/>
    </row>
    <row r="77" ht="12.75">
      <c r="H77"/>
    </row>
    <row r="78" ht="12.75">
      <c r="H78"/>
    </row>
    <row r="79" ht="12.75">
      <c r="H79"/>
    </row>
    <row r="80" ht="12.75">
      <c r="H80"/>
    </row>
    <row r="81" ht="12.75">
      <c r="H81"/>
    </row>
    <row r="82" ht="12.75">
      <c r="H82"/>
    </row>
    <row r="83" ht="12.75">
      <c r="H83"/>
    </row>
    <row r="84" ht="12.75">
      <c r="H84"/>
    </row>
    <row r="85" ht="12.75">
      <c r="H85"/>
    </row>
    <row r="86" ht="12.75">
      <c r="H86"/>
    </row>
    <row r="87" ht="12.75">
      <c r="H87"/>
    </row>
    <row r="88" ht="12.75">
      <c r="H88"/>
    </row>
    <row r="89" ht="12.75">
      <c r="H89"/>
    </row>
    <row r="90" ht="12.75">
      <c r="H90"/>
    </row>
    <row r="91" ht="12.75">
      <c r="H91"/>
    </row>
    <row r="92" ht="12.75">
      <c r="H92"/>
    </row>
    <row r="93" ht="12.75">
      <c r="H93"/>
    </row>
    <row r="94" ht="12.75">
      <c r="H94"/>
    </row>
    <row r="95" ht="12.75">
      <c r="H95"/>
    </row>
    <row r="96" ht="12.75">
      <c r="H96"/>
    </row>
    <row r="97" ht="12.75">
      <c r="H97"/>
    </row>
    <row r="98" ht="12.75">
      <c r="H98"/>
    </row>
    <row r="99" ht="12.75">
      <c r="H99"/>
    </row>
    <row r="100" ht="12.75">
      <c r="H100"/>
    </row>
    <row r="101" ht="12.75">
      <c r="H101"/>
    </row>
    <row r="102" ht="12.75">
      <c r="H102"/>
    </row>
    <row r="103" ht="12.75">
      <c r="H103"/>
    </row>
    <row r="104" ht="12.75">
      <c r="H104"/>
    </row>
    <row r="105" ht="12.75">
      <c r="H105"/>
    </row>
    <row r="106" ht="12.75">
      <c r="H106"/>
    </row>
    <row r="107" ht="12.75">
      <c r="H107"/>
    </row>
    <row r="108" ht="12.75">
      <c r="H108"/>
    </row>
    <row r="109" ht="12.75">
      <c r="H109"/>
    </row>
    <row r="110" ht="12.75">
      <c r="H110"/>
    </row>
    <row r="111" ht="12.75">
      <c r="H111"/>
    </row>
    <row r="112" ht="12.75">
      <c r="H112"/>
    </row>
    <row r="113" ht="12.75">
      <c r="H113"/>
    </row>
    <row r="114" ht="12.75">
      <c r="H114"/>
    </row>
    <row r="115" ht="12.75">
      <c r="H115"/>
    </row>
    <row r="116" ht="12.75">
      <c r="H116"/>
    </row>
    <row r="117" ht="12.75">
      <c r="H117"/>
    </row>
    <row r="118" ht="12.75">
      <c r="H118"/>
    </row>
    <row r="119" ht="12.75">
      <c r="H119"/>
    </row>
    <row r="120" ht="12.75">
      <c r="H120"/>
    </row>
    <row r="121" ht="12.75">
      <c r="H121"/>
    </row>
    <row r="122" spans="1:25" ht="12.75" customHeight="1">
      <c r="A122" s="83"/>
      <c r="B122" s="83"/>
      <c r="C122" s="84"/>
      <c r="D122" s="85"/>
      <c r="E122" s="85"/>
      <c r="F122" s="85"/>
      <c r="G122" s="86"/>
      <c r="H122" s="86"/>
      <c r="I122" s="86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1"/>
    </row>
    <row r="123" ht="12.75">
      <c r="H123"/>
    </row>
    <row r="124" ht="12.75">
      <c r="H124"/>
    </row>
    <row r="125" ht="12.75">
      <c r="H125"/>
    </row>
    <row r="126" ht="12.75">
      <c r="H126"/>
    </row>
    <row r="127" ht="12.75">
      <c r="H127"/>
    </row>
    <row r="128" ht="12.75">
      <c r="H128"/>
    </row>
    <row r="129" ht="12.75">
      <c r="H129"/>
    </row>
    <row r="130" ht="12.75">
      <c r="H130"/>
    </row>
    <row r="131" ht="12.75">
      <c r="H131"/>
    </row>
    <row r="132" ht="12.75">
      <c r="H132"/>
    </row>
    <row r="133" ht="12.75">
      <c r="H133"/>
    </row>
    <row r="134" ht="12.75">
      <c r="H134"/>
    </row>
    <row r="135" ht="12.75">
      <c r="H135"/>
    </row>
    <row r="136" ht="12.75">
      <c r="H136"/>
    </row>
    <row r="137" ht="12.75">
      <c r="H137"/>
    </row>
    <row r="138" ht="12.75">
      <c r="H138"/>
    </row>
    <row r="139" ht="12.75">
      <c r="H139"/>
    </row>
    <row r="140" ht="12.75">
      <c r="H140"/>
    </row>
    <row r="141" ht="12.75">
      <c r="H141"/>
    </row>
    <row r="142" ht="12.75">
      <c r="H142"/>
    </row>
    <row r="143" ht="12.75">
      <c r="H143"/>
    </row>
    <row r="144" ht="12.75">
      <c r="H144"/>
    </row>
    <row r="145" ht="12.75">
      <c r="H145"/>
    </row>
    <row r="146" ht="12.75">
      <c r="H146"/>
    </row>
    <row r="147" ht="12.75">
      <c r="H147"/>
    </row>
    <row r="148" ht="12.75">
      <c r="H148"/>
    </row>
    <row r="149" ht="12.75">
      <c r="H149"/>
    </row>
    <row r="150" ht="12.75">
      <c r="H150"/>
    </row>
    <row r="151" ht="12.75">
      <c r="H151"/>
    </row>
    <row r="152" ht="12.75">
      <c r="H152"/>
    </row>
    <row r="153" ht="12.75">
      <c r="H153"/>
    </row>
    <row r="154" ht="12.75">
      <c r="H154"/>
    </row>
    <row r="155" ht="12.75">
      <c r="H155"/>
    </row>
    <row r="156" ht="12.75">
      <c r="H156"/>
    </row>
    <row r="157" ht="12.75">
      <c r="H157"/>
    </row>
    <row r="158" ht="12.75">
      <c r="H158"/>
    </row>
    <row r="159" ht="12.75">
      <c r="H159"/>
    </row>
    <row r="160" ht="12.75">
      <c r="H160"/>
    </row>
    <row r="161" ht="12.75">
      <c r="H161"/>
    </row>
    <row r="162" ht="12.75">
      <c r="H162"/>
    </row>
    <row r="163" ht="12.75">
      <c r="H163"/>
    </row>
    <row r="164" ht="12.75">
      <c r="H164"/>
    </row>
    <row r="165" ht="12.75">
      <c r="H165"/>
    </row>
    <row r="166" ht="12.75">
      <c r="H166"/>
    </row>
    <row r="167" ht="12.75">
      <c r="H167"/>
    </row>
    <row r="168" ht="12.75">
      <c r="H168"/>
    </row>
    <row r="169" ht="12.75">
      <c r="H169"/>
    </row>
    <row r="170" ht="12.75">
      <c r="H170"/>
    </row>
    <row r="171" ht="12.75">
      <c r="H171"/>
    </row>
    <row r="172" ht="12.75">
      <c r="H172"/>
    </row>
    <row r="173" ht="12.75">
      <c r="H173"/>
    </row>
    <row r="174" ht="12.75">
      <c r="H174"/>
    </row>
    <row r="175" ht="12.75">
      <c r="H175"/>
    </row>
    <row r="176" ht="12.75">
      <c r="H176"/>
    </row>
    <row r="177" ht="12.75">
      <c r="H177"/>
    </row>
    <row r="178" ht="12.75">
      <c r="H178"/>
    </row>
    <row r="179" spans="1:31" ht="12.75">
      <c r="A179" s="7"/>
      <c r="B179" s="7"/>
      <c r="C179" s="7"/>
      <c r="D179" s="7"/>
      <c r="E179" s="7"/>
      <c r="F179" s="7"/>
      <c r="G179" s="7"/>
      <c r="H179" s="87"/>
      <c r="I179" s="87"/>
      <c r="J179" s="87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7"/>
      <c r="AB179" s="7"/>
      <c r="AC179" s="7"/>
      <c r="AD179" s="7"/>
      <c r="AE179" s="7"/>
    </row>
    <row r="180" spans="1:31" ht="12.75">
      <c r="A180" s="7"/>
      <c r="B180" s="7"/>
      <c r="C180" s="7"/>
      <c r="D180" s="7"/>
      <c r="E180" s="7"/>
      <c r="F180" s="7"/>
      <c r="G180" s="7"/>
      <c r="H180" s="7"/>
      <c r="I180" s="87"/>
      <c r="J180" s="7"/>
      <c r="K180" s="1"/>
      <c r="L180" s="1"/>
      <c r="M180" s="1"/>
      <c r="N180" s="1"/>
      <c r="O180" s="1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7"/>
      <c r="AB180" s="7"/>
      <c r="AC180" s="7"/>
      <c r="AD180" s="7"/>
      <c r="AE180" s="7"/>
    </row>
    <row r="181" spans="1:31" ht="12.75">
      <c r="A181" s="7"/>
      <c r="B181" s="7"/>
      <c r="C181" s="7"/>
      <c r="D181" s="7"/>
      <c r="E181" s="7"/>
      <c r="F181" s="7"/>
      <c r="G181" s="7"/>
      <c r="H181" s="87"/>
      <c r="I181" s="7"/>
      <c r="J181" s="87"/>
      <c r="K181" s="1"/>
      <c r="L181" s="1"/>
      <c r="M181" s="1"/>
      <c r="N181" s="1"/>
      <c r="O181" s="1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7"/>
      <c r="AB181" s="7"/>
      <c r="AC181" s="7"/>
      <c r="AD181" s="7"/>
      <c r="AE181" s="7"/>
    </row>
    <row r="182" spans="1:31" ht="12.75">
      <c r="A182" s="7"/>
      <c r="B182" s="7"/>
      <c r="C182" s="7"/>
      <c r="D182" s="7"/>
      <c r="E182" s="7"/>
      <c r="F182" s="7"/>
      <c r="G182" s="7"/>
      <c r="H182" s="87"/>
      <c r="I182" s="7"/>
      <c r="J182" s="87"/>
      <c r="K182" s="1"/>
      <c r="L182" s="1"/>
      <c r="M182" s="1"/>
      <c r="N182" s="1"/>
      <c r="O182" s="1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7"/>
      <c r="AB182" s="7"/>
      <c r="AC182" s="7"/>
      <c r="AD182" s="7"/>
      <c r="AE182" s="7"/>
    </row>
    <row r="183" spans="1:31" ht="12.75">
      <c r="A183" s="7"/>
      <c r="B183" s="7"/>
      <c r="C183" s="7"/>
      <c r="D183" s="7"/>
      <c r="E183" s="7"/>
      <c r="F183" s="7"/>
      <c r="G183" s="7"/>
      <c r="H183" s="87"/>
      <c r="I183" s="7"/>
      <c r="J183" s="87"/>
      <c r="K183" s="1"/>
      <c r="L183" s="1"/>
      <c r="M183" s="1"/>
      <c r="N183" s="1"/>
      <c r="O183" s="1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7"/>
      <c r="AB183" s="7"/>
      <c r="AC183" s="7"/>
      <c r="AD183" s="7"/>
      <c r="AE183" s="7"/>
    </row>
    <row r="184" spans="1:31" ht="12.75">
      <c r="A184" s="7"/>
      <c r="B184" s="7"/>
      <c r="C184" s="7"/>
      <c r="D184" s="7"/>
      <c r="E184" s="7"/>
      <c r="F184" s="7"/>
      <c r="G184" s="7"/>
      <c r="H184" s="87"/>
      <c r="I184" s="7"/>
      <c r="J184" s="87"/>
      <c r="K184" s="1"/>
      <c r="L184" s="1"/>
      <c r="M184" s="1"/>
      <c r="N184" s="1"/>
      <c r="O184" s="1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7"/>
      <c r="AB184" s="7"/>
      <c r="AC184" s="7"/>
      <c r="AD184" s="7"/>
      <c r="AE184" s="7"/>
    </row>
    <row r="185" spans="1:31" ht="12.75">
      <c r="A185" s="7"/>
      <c r="B185" s="7"/>
      <c r="C185" s="7"/>
      <c r="D185" s="7"/>
      <c r="E185" s="7"/>
      <c r="F185" s="7"/>
      <c r="G185" s="7"/>
      <c r="H185" s="87"/>
      <c r="I185" s="7"/>
      <c r="J185" s="87"/>
      <c r="K185" s="1"/>
      <c r="L185" s="1"/>
      <c r="M185" s="1"/>
      <c r="N185" s="1"/>
      <c r="O185" s="1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7"/>
      <c r="AB185" s="7"/>
      <c r="AC185" s="7"/>
      <c r="AD185" s="7"/>
      <c r="AE185" s="7"/>
    </row>
    <row r="186" spans="1:31" ht="12.75">
      <c r="A186" s="7"/>
      <c r="B186" s="7"/>
      <c r="C186" s="7"/>
      <c r="D186" s="7"/>
      <c r="E186" s="7"/>
      <c r="F186" s="7"/>
      <c r="G186" s="7"/>
      <c r="H186" s="87"/>
      <c r="I186" s="7"/>
      <c r="J186" s="87"/>
      <c r="K186" s="1"/>
      <c r="L186" s="1"/>
      <c r="M186" s="1"/>
      <c r="N186" s="1"/>
      <c r="O186" s="1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7"/>
      <c r="AB186" s="7"/>
      <c r="AC186" s="7"/>
      <c r="AD186" s="7"/>
      <c r="AE186" s="7"/>
    </row>
    <row r="187" spans="1:31" ht="12.75">
      <c r="A187" s="7"/>
      <c r="B187" s="7"/>
      <c r="C187" s="7"/>
      <c r="D187" s="7"/>
      <c r="E187" s="7"/>
      <c r="F187" s="7"/>
      <c r="G187" s="7"/>
      <c r="H187" s="87"/>
      <c r="I187" s="7"/>
      <c r="J187" s="87"/>
      <c r="K187" s="1"/>
      <c r="L187" s="1"/>
      <c r="M187" s="1"/>
      <c r="N187" s="1"/>
      <c r="O187" s="1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7"/>
      <c r="AB187" s="7"/>
      <c r="AC187" s="7"/>
      <c r="AD187" s="7"/>
      <c r="AE187" s="7"/>
    </row>
    <row r="188" spans="1:31" ht="12.75">
      <c r="A188" s="7"/>
      <c r="B188" s="7"/>
      <c r="C188" s="7"/>
      <c r="D188" s="7"/>
      <c r="E188" s="7"/>
      <c r="F188" s="7"/>
      <c r="G188" s="7"/>
      <c r="H188" s="87"/>
      <c r="I188" s="7"/>
      <c r="J188" s="87"/>
      <c r="K188" s="1"/>
      <c r="L188" s="1"/>
      <c r="M188" s="1"/>
      <c r="N188" s="1"/>
      <c r="O188" s="1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7"/>
      <c r="AB188" s="7"/>
      <c r="AC188" s="7"/>
      <c r="AD188" s="7"/>
      <c r="AE188" s="7"/>
    </row>
    <row r="189" spans="1:31" ht="12.75">
      <c r="A189" s="7"/>
      <c r="B189" s="7"/>
      <c r="C189" s="7"/>
      <c r="D189" s="7"/>
      <c r="E189" s="7"/>
      <c r="F189" s="7"/>
      <c r="G189" s="7"/>
      <c r="H189" s="87"/>
      <c r="I189" s="7"/>
      <c r="J189" s="87"/>
      <c r="K189" s="1"/>
      <c r="L189" s="1"/>
      <c r="M189" s="1"/>
      <c r="N189" s="1"/>
      <c r="O189" s="1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  <c r="AA189" s="7"/>
      <c r="AB189" s="7"/>
      <c r="AC189" s="7"/>
      <c r="AD189" s="7"/>
      <c r="AE189" s="7"/>
    </row>
    <row r="190" spans="1:31" ht="12.75">
      <c r="A190" s="89"/>
      <c r="B190" s="89"/>
      <c r="C190" s="89"/>
      <c r="D190" s="89"/>
      <c r="E190" s="89"/>
      <c r="F190" s="89"/>
      <c r="G190" s="89"/>
      <c r="H190" s="90"/>
      <c r="I190" s="89"/>
      <c r="J190" s="91"/>
      <c r="K190" s="1"/>
      <c r="L190" s="1"/>
      <c r="M190" s="1"/>
      <c r="N190" s="1"/>
      <c r="O190" s="1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7"/>
      <c r="AB190" s="7"/>
      <c r="AC190" s="7"/>
      <c r="AD190" s="7"/>
      <c r="AE190" s="7"/>
    </row>
    <row r="191" spans="1:31" ht="12.75">
      <c r="A191" s="89"/>
      <c r="B191" s="89"/>
      <c r="C191" s="89"/>
      <c r="D191" s="89"/>
      <c r="E191" s="89"/>
      <c r="F191" s="89"/>
      <c r="G191" s="89"/>
      <c r="H191" s="89"/>
      <c r="I191" s="91"/>
      <c r="J191" s="89"/>
      <c r="K191" s="1"/>
      <c r="L191" s="1"/>
      <c r="M191" s="1"/>
      <c r="N191" s="1"/>
      <c r="O191" s="1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  <c r="AA191" s="7"/>
      <c r="AB191" s="7"/>
      <c r="AC191" s="7"/>
      <c r="AD191" s="7"/>
      <c r="AE191" s="7"/>
    </row>
    <row r="192" spans="1:31" ht="12.75">
      <c r="A192" s="89"/>
      <c r="B192" s="89"/>
      <c r="C192" s="89"/>
      <c r="D192" s="89"/>
      <c r="E192" s="89"/>
      <c r="F192" s="89"/>
      <c r="G192" s="89"/>
      <c r="H192" s="89"/>
      <c r="I192" s="89"/>
      <c r="J192" s="89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7"/>
      <c r="AB192" s="7"/>
      <c r="AC192" s="7"/>
      <c r="AD192" s="7"/>
      <c r="AE192" s="7"/>
    </row>
    <row r="193" spans="1:31" ht="12.75">
      <c r="A193" s="89"/>
      <c r="B193" s="89"/>
      <c r="C193" s="89"/>
      <c r="D193" s="89"/>
      <c r="E193" s="89"/>
      <c r="F193" s="89"/>
      <c r="G193" s="89"/>
      <c r="H193" s="89"/>
      <c r="I193" s="89"/>
      <c r="J193" s="89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7"/>
      <c r="AB193" s="7"/>
      <c r="AC193" s="7"/>
      <c r="AD193" s="7"/>
      <c r="AE193" s="7"/>
    </row>
    <row r="194" spans="1:31" ht="12.75">
      <c r="A194" s="89"/>
      <c r="B194" s="89"/>
      <c r="C194" s="89"/>
      <c r="D194" s="89"/>
      <c r="E194" s="89"/>
      <c r="F194" s="89"/>
      <c r="G194" s="89"/>
      <c r="H194" s="89"/>
      <c r="I194" s="89"/>
      <c r="J194" s="89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  <c r="AA194" s="7"/>
      <c r="AB194" s="7"/>
      <c r="AC194" s="7"/>
      <c r="AD194" s="7"/>
      <c r="AE194" s="7"/>
    </row>
    <row r="195" spans="1:31" ht="12.75">
      <c r="A195" s="89"/>
      <c r="B195" s="89"/>
      <c r="C195" s="89"/>
      <c r="D195" s="89"/>
      <c r="E195" s="89"/>
      <c r="F195" s="89"/>
      <c r="G195" s="89"/>
      <c r="H195" s="92"/>
      <c r="I195" s="89"/>
      <c r="J195" s="92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7"/>
      <c r="AB195" s="7"/>
      <c r="AC195" s="7"/>
      <c r="AD195" s="7"/>
      <c r="AE195" s="7"/>
    </row>
    <row r="196" spans="1:31" ht="18.75">
      <c r="A196" s="93"/>
      <c r="B196" s="93"/>
      <c r="C196" s="92"/>
      <c r="D196" s="92"/>
      <c r="E196" s="92"/>
      <c r="F196" s="92"/>
      <c r="G196" s="92"/>
      <c r="H196" s="92"/>
      <c r="I196" s="92"/>
      <c r="J196" s="92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  <c r="AA196" s="7"/>
      <c r="AB196" s="7"/>
      <c r="AC196" s="7"/>
      <c r="AD196" s="7"/>
      <c r="AE196" s="7"/>
    </row>
    <row r="197" spans="1:31" ht="12.75">
      <c r="A197" s="92"/>
      <c r="B197" s="92"/>
      <c r="C197" s="92"/>
      <c r="D197" s="92"/>
      <c r="E197" s="92"/>
      <c r="F197" s="92"/>
      <c r="G197" s="92"/>
      <c r="H197" s="92"/>
      <c r="I197" s="92"/>
      <c r="J197" s="92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7"/>
      <c r="AB197" s="7"/>
      <c r="AC197" s="7"/>
      <c r="AD197" s="7"/>
      <c r="AE197" s="7"/>
    </row>
    <row r="198" spans="1:31" ht="12.75">
      <c r="A198" s="92"/>
      <c r="B198" s="92"/>
      <c r="C198" s="92"/>
      <c r="D198" s="92"/>
      <c r="E198" s="92"/>
      <c r="F198" s="92"/>
      <c r="G198" s="92"/>
      <c r="H198" s="92"/>
      <c r="I198" s="92"/>
      <c r="J198" s="92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  <c r="AA198" s="7"/>
      <c r="AB198" s="7"/>
      <c r="AC198" s="7"/>
      <c r="AD198" s="7"/>
      <c r="AE198" s="7"/>
    </row>
    <row r="199" spans="1:31" ht="12.75">
      <c r="A199" s="92"/>
      <c r="B199" s="92"/>
      <c r="C199" s="92"/>
      <c r="D199" s="92"/>
      <c r="E199" s="92"/>
      <c r="F199" s="92"/>
      <c r="G199" s="92"/>
      <c r="H199" s="92"/>
      <c r="I199" s="92"/>
      <c r="J199" s="94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  <c r="AA199" s="7"/>
      <c r="AB199" s="7"/>
      <c r="AC199" s="7"/>
      <c r="AD199" s="7"/>
      <c r="AE199" s="7"/>
    </row>
    <row r="200" spans="1:31" ht="12.75">
      <c r="A200" s="92"/>
      <c r="B200" s="92"/>
      <c r="C200" s="92"/>
      <c r="D200" s="92"/>
      <c r="E200" s="92"/>
      <c r="F200" s="92"/>
      <c r="G200" s="92"/>
      <c r="H200" s="92"/>
      <c r="I200" s="94"/>
      <c r="J200" s="94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  <c r="AA200" s="7"/>
      <c r="AB200" s="7"/>
      <c r="AC200" s="7"/>
      <c r="AD200" s="7"/>
      <c r="AE200" s="7"/>
    </row>
    <row r="201" spans="1:31" ht="12.75">
      <c r="A201" s="92"/>
      <c r="B201" s="92"/>
      <c r="C201" s="92"/>
      <c r="D201" s="92"/>
      <c r="E201" s="92"/>
      <c r="F201" s="92"/>
      <c r="G201" s="92"/>
      <c r="H201" s="92"/>
      <c r="I201" s="94"/>
      <c r="J201" s="92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  <c r="AA201" s="7"/>
      <c r="AB201" s="7"/>
      <c r="AC201" s="7"/>
      <c r="AD201" s="7"/>
      <c r="AE201" s="7"/>
    </row>
    <row r="202" spans="1:31" ht="12.75">
      <c r="A202" s="89"/>
      <c r="B202" s="89"/>
      <c r="C202" s="89"/>
      <c r="D202" s="92"/>
      <c r="E202" s="92"/>
      <c r="F202" s="92"/>
      <c r="G202" s="92"/>
      <c r="H202" s="92"/>
      <c r="I202" s="92"/>
      <c r="J202" s="92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  <c r="AA202" s="7"/>
      <c r="AB202" s="7"/>
      <c r="AC202" s="7"/>
      <c r="AD202" s="7"/>
      <c r="AE202" s="7"/>
    </row>
    <row r="203" spans="1:31" ht="12.75">
      <c r="A203" s="89"/>
      <c r="B203" s="89"/>
      <c r="C203" s="89"/>
      <c r="D203" s="92"/>
      <c r="E203" s="92"/>
      <c r="F203" s="92"/>
      <c r="G203" s="92"/>
      <c r="H203" s="92"/>
      <c r="I203" s="92"/>
      <c r="J203" s="92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  <c r="AA203" s="7"/>
      <c r="AB203" s="7"/>
      <c r="AC203" s="7"/>
      <c r="AD203" s="7"/>
      <c r="AE203" s="7"/>
    </row>
    <row r="204" spans="1:31" ht="12.75">
      <c r="A204" s="89"/>
      <c r="B204" s="89"/>
      <c r="C204" s="89"/>
      <c r="D204" s="92"/>
      <c r="E204" s="92"/>
      <c r="F204" s="92"/>
      <c r="G204" s="92"/>
      <c r="H204" s="89"/>
      <c r="I204" s="92"/>
      <c r="J204" s="89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  <c r="AA204" s="7"/>
      <c r="AB204" s="7"/>
      <c r="AC204" s="7"/>
      <c r="AD204" s="7"/>
      <c r="AE204" s="7"/>
    </row>
    <row r="205" spans="1:31" ht="12.75">
      <c r="A205" s="89"/>
      <c r="B205" s="89"/>
      <c r="C205" s="95"/>
      <c r="D205" s="89"/>
      <c r="E205" s="89"/>
      <c r="F205" s="89"/>
      <c r="G205" s="89"/>
      <c r="H205" s="89"/>
      <c r="I205" s="89"/>
      <c r="J205" s="89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  <c r="AA205" s="7"/>
      <c r="AB205" s="7"/>
      <c r="AC205" s="7"/>
      <c r="AD205" s="7"/>
      <c r="AE205" s="7"/>
    </row>
    <row r="206" spans="1:31" ht="12.75">
      <c r="A206" s="89"/>
      <c r="B206" s="89"/>
      <c r="C206" s="89"/>
      <c r="D206" s="89"/>
      <c r="E206" s="89"/>
      <c r="F206" s="89"/>
      <c r="G206" s="89"/>
      <c r="H206" s="89"/>
      <c r="I206" s="89"/>
      <c r="J206" s="89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  <c r="AA206" s="7"/>
      <c r="AB206" s="7"/>
      <c r="AC206" s="7"/>
      <c r="AD206" s="7"/>
      <c r="AE206" s="7"/>
    </row>
    <row r="207" spans="1:31" ht="12.75">
      <c r="A207" s="89"/>
      <c r="B207" s="89"/>
      <c r="C207" s="89"/>
      <c r="D207" s="89"/>
      <c r="E207" s="89"/>
      <c r="F207" s="89"/>
      <c r="G207" s="89"/>
      <c r="H207" s="92"/>
      <c r="I207" s="89"/>
      <c r="J207" s="92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  <c r="AA207" s="7"/>
      <c r="AB207" s="7"/>
      <c r="AC207" s="7"/>
      <c r="AD207" s="7"/>
      <c r="AE207" s="7"/>
    </row>
    <row r="208" spans="1:31" ht="20.25">
      <c r="A208" s="96"/>
      <c r="B208" s="96"/>
      <c r="C208" s="97"/>
      <c r="D208" s="97"/>
      <c r="E208" s="97"/>
      <c r="F208" s="92"/>
      <c r="G208" s="92"/>
      <c r="H208" s="89"/>
      <c r="I208" s="92"/>
      <c r="J208" s="89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  <c r="AA208" s="7"/>
      <c r="AB208" s="7"/>
      <c r="AC208" s="7"/>
      <c r="AD208" s="7"/>
      <c r="AE208" s="7"/>
    </row>
    <row r="209" spans="1:31" ht="12.75">
      <c r="A209" s="89"/>
      <c r="B209" s="89"/>
      <c r="C209" s="89"/>
      <c r="D209" s="89"/>
      <c r="E209" s="89"/>
      <c r="F209" s="89"/>
      <c r="G209" s="89"/>
      <c r="H209" s="98"/>
      <c r="I209" s="89"/>
      <c r="J209" s="9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  <c r="AA209" s="7"/>
      <c r="AB209" s="7"/>
      <c r="AC209" s="7"/>
      <c r="AD209" s="7"/>
      <c r="AE209" s="7"/>
    </row>
    <row r="210" spans="1:31" ht="12.75">
      <c r="A210" s="99"/>
      <c r="B210" s="99"/>
      <c r="C210" s="100"/>
      <c r="D210" s="100"/>
      <c r="E210" s="100"/>
      <c r="F210" s="100"/>
      <c r="G210" s="100"/>
      <c r="H210" s="101"/>
      <c r="I210" s="98"/>
      <c r="J210" s="9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  <c r="AA210" s="7"/>
      <c r="AB210" s="7"/>
      <c r="AC210" s="7"/>
      <c r="AD210" s="7"/>
      <c r="AE210" s="7"/>
    </row>
    <row r="211" spans="1:31" ht="12.75">
      <c r="A211" s="99"/>
      <c r="B211" s="99"/>
      <c r="C211" s="92"/>
      <c r="D211" s="92"/>
      <c r="E211" s="92"/>
      <c r="F211" s="92"/>
      <c r="G211" s="92"/>
      <c r="H211" s="92"/>
      <c r="I211" s="98"/>
      <c r="J211" s="9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  <c r="AA211" s="7"/>
      <c r="AB211" s="7"/>
      <c r="AC211" s="7"/>
      <c r="AD211" s="7"/>
      <c r="AE211" s="7"/>
    </row>
    <row r="212" spans="1:31" ht="12.75">
      <c r="A212" s="99"/>
      <c r="B212" s="99"/>
      <c r="C212" s="92"/>
      <c r="D212" s="92"/>
      <c r="E212" s="92"/>
      <c r="F212" s="92"/>
      <c r="G212" s="92"/>
      <c r="H212" s="92"/>
      <c r="I212" s="98"/>
      <c r="J212" s="9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  <c r="AA212" s="7"/>
      <c r="AB212" s="7"/>
      <c r="AC212" s="7"/>
      <c r="AD212" s="7"/>
      <c r="AE212" s="7"/>
    </row>
    <row r="213" spans="1:31" ht="12.75">
      <c r="A213" s="99"/>
      <c r="B213" s="99"/>
      <c r="C213" s="92"/>
      <c r="D213" s="92"/>
      <c r="E213" s="92"/>
      <c r="F213" s="92"/>
      <c r="G213" s="92"/>
      <c r="H213" s="92"/>
      <c r="I213" s="98"/>
      <c r="J213" s="9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  <c r="AA213" s="7"/>
      <c r="AB213" s="7"/>
      <c r="AC213" s="7"/>
      <c r="AD213" s="7"/>
      <c r="AE213" s="7"/>
    </row>
    <row r="214" spans="1:31" ht="12.75">
      <c r="A214" s="99"/>
      <c r="B214" s="99"/>
      <c r="C214" s="92"/>
      <c r="D214" s="102"/>
      <c r="E214" s="102"/>
      <c r="F214" s="102"/>
      <c r="G214" s="102"/>
      <c r="H214" s="102"/>
      <c r="I214" s="103"/>
      <c r="J214" s="9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  <c r="AA214" s="7"/>
      <c r="AB214" s="7"/>
      <c r="AC214" s="7"/>
      <c r="AD214" s="7"/>
      <c r="AE214" s="7"/>
    </row>
    <row r="215" spans="1:31" ht="12.75">
      <c r="A215" s="92"/>
      <c r="B215" s="92"/>
      <c r="C215" s="92"/>
      <c r="D215" s="102"/>
      <c r="E215" s="102"/>
      <c r="F215" s="102"/>
      <c r="G215" s="102"/>
      <c r="H215" s="102"/>
      <c r="I215" s="103"/>
      <c r="J215" s="9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  <c r="AA215" s="7"/>
      <c r="AB215" s="7"/>
      <c r="AC215" s="7"/>
      <c r="AD215" s="7"/>
      <c r="AE215" s="7"/>
    </row>
    <row r="216" spans="1:31" ht="12.75">
      <c r="A216" s="92"/>
      <c r="B216" s="92"/>
      <c r="C216" s="92"/>
      <c r="D216" s="102"/>
      <c r="E216" s="102"/>
      <c r="F216" s="102"/>
      <c r="G216" s="102"/>
      <c r="H216" s="102"/>
      <c r="I216" s="103"/>
      <c r="J216" s="9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  <c r="AA216" s="7"/>
      <c r="AB216" s="7"/>
      <c r="AC216" s="7"/>
      <c r="AD216" s="7"/>
      <c r="AE216" s="7"/>
    </row>
    <row r="217" spans="1:31" ht="12.75">
      <c r="A217" s="92"/>
      <c r="B217" s="92"/>
      <c r="C217" s="92"/>
      <c r="D217" s="102"/>
      <c r="E217" s="102"/>
      <c r="F217" s="102"/>
      <c r="G217" s="102"/>
      <c r="H217" s="102"/>
      <c r="I217" s="103"/>
      <c r="J217" s="9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  <c r="AA217" s="7"/>
      <c r="AB217" s="7"/>
      <c r="AC217" s="7"/>
      <c r="AD217" s="7"/>
      <c r="AE217" s="7"/>
    </row>
    <row r="218" spans="1:31" ht="12.75">
      <c r="A218" s="92"/>
      <c r="B218" s="92"/>
      <c r="C218" s="92"/>
      <c r="D218" s="102"/>
      <c r="E218" s="102"/>
      <c r="F218" s="102"/>
      <c r="G218" s="102"/>
      <c r="H218" s="102"/>
      <c r="I218" s="103"/>
      <c r="J218" s="9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  <c r="AA218" s="7"/>
      <c r="AB218" s="7"/>
      <c r="AC218" s="7"/>
      <c r="AD218" s="7"/>
      <c r="AE218" s="7"/>
    </row>
    <row r="219" spans="1:31" ht="12.75">
      <c r="A219" s="92"/>
      <c r="B219" s="92"/>
      <c r="C219" s="92"/>
      <c r="D219" s="102"/>
      <c r="E219" s="102"/>
      <c r="F219" s="102"/>
      <c r="G219" s="102"/>
      <c r="H219" s="103"/>
      <c r="I219" s="103"/>
      <c r="J219" s="9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  <c r="AA219" s="7"/>
      <c r="AB219" s="7"/>
      <c r="AC219" s="7"/>
      <c r="AD219" s="7"/>
      <c r="AE219" s="7"/>
    </row>
    <row r="220" spans="1:31" ht="12.75">
      <c r="A220" s="92"/>
      <c r="B220" s="92"/>
      <c r="C220" s="92"/>
      <c r="D220" s="102"/>
      <c r="E220" s="102"/>
      <c r="F220" s="102"/>
      <c r="G220" s="102"/>
      <c r="H220" s="102"/>
      <c r="I220" s="103"/>
      <c r="J220" s="9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  <c r="AA220" s="7"/>
      <c r="AB220" s="7"/>
      <c r="AC220" s="7"/>
      <c r="AD220" s="7"/>
      <c r="AE220" s="7"/>
    </row>
    <row r="221" spans="1:31" ht="12.75">
      <c r="A221" s="92"/>
      <c r="B221" s="92"/>
      <c r="C221" s="92"/>
      <c r="D221" s="102"/>
      <c r="E221" s="102"/>
      <c r="F221" s="102"/>
      <c r="G221" s="102"/>
      <c r="H221" s="102"/>
      <c r="I221" s="103"/>
      <c r="J221" s="92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  <c r="AA221" s="7"/>
      <c r="AB221" s="7"/>
      <c r="AC221" s="7"/>
      <c r="AD221" s="7"/>
      <c r="AE221" s="7"/>
    </row>
    <row r="222" spans="1:31" ht="12.75">
      <c r="A222" s="104"/>
      <c r="B222" s="104"/>
      <c r="C222" s="99"/>
      <c r="D222" s="102"/>
      <c r="E222" s="105"/>
      <c r="F222" s="102"/>
      <c r="G222" s="102"/>
      <c r="H222" s="102"/>
      <c r="I222" s="102"/>
      <c r="J222" s="92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  <c r="AA222" s="7"/>
      <c r="AB222" s="7"/>
      <c r="AC222" s="7"/>
      <c r="AD222" s="7"/>
      <c r="AE222" s="7"/>
    </row>
    <row r="223" spans="1:31" ht="12.75">
      <c r="A223" s="104"/>
      <c r="B223" s="104"/>
      <c r="C223" s="99"/>
      <c r="D223" s="92"/>
      <c r="E223" s="106"/>
      <c r="F223" s="89"/>
      <c r="G223" s="92"/>
      <c r="H223" s="92"/>
      <c r="I223" s="92"/>
      <c r="J223" s="92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  <c r="AA223" s="7"/>
      <c r="AB223" s="7"/>
      <c r="AC223" s="7"/>
      <c r="AD223" s="7"/>
      <c r="AE223" s="7"/>
    </row>
    <row r="224" spans="1:31" ht="12.75">
      <c r="A224" s="92"/>
      <c r="B224" s="92"/>
      <c r="C224" s="92"/>
      <c r="D224" s="92"/>
      <c r="E224" s="92"/>
      <c r="F224" s="92"/>
      <c r="G224" s="92"/>
      <c r="H224" s="92"/>
      <c r="I224" s="92"/>
      <c r="J224" s="92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  <c r="AA224" s="7"/>
      <c r="AB224" s="7"/>
      <c r="AC224" s="7"/>
      <c r="AD224" s="7"/>
      <c r="AE224" s="7"/>
    </row>
    <row r="225" spans="1:31" ht="12.75">
      <c r="A225" s="92"/>
      <c r="B225" s="92"/>
      <c r="C225" s="92"/>
      <c r="D225" s="92"/>
      <c r="E225" s="92"/>
      <c r="F225" s="92"/>
      <c r="G225" s="92"/>
      <c r="H225" s="92"/>
      <c r="I225" s="92"/>
      <c r="J225" s="92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  <c r="AA225" s="7"/>
      <c r="AB225" s="7"/>
      <c r="AC225" s="7"/>
      <c r="AD225" s="7"/>
      <c r="AE225" s="7"/>
    </row>
    <row r="226" spans="1:31" ht="12.75">
      <c r="A226" s="92"/>
      <c r="B226" s="92"/>
      <c r="C226" s="92"/>
      <c r="D226" s="92"/>
      <c r="E226" s="92"/>
      <c r="F226" s="92"/>
      <c r="G226" s="92"/>
      <c r="H226" s="92"/>
      <c r="I226" s="92"/>
      <c r="J226" s="92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  <c r="AA226" s="7"/>
      <c r="AB226" s="7"/>
      <c r="AC226" s="7"/>
      <c r="AD226" s="7"/>
      <c r="AE226" s="7"/>
    </row>
    <row r="227" spans="1:31" ht="12.75">
      <c r="A227" s="92"/>
      <c r="B227" s="92"/>
      <c r="C227" s="92"/>
      <c r="D227" s="92"/>
      <c r="E227" s="92"/>
      <c r="F227" s="92"/>
      <c r="G227" s="92"/>
      <c r="H227" s="89"/>
      <c r="I227" s="92"/>
      <c r="J227" s="89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  <c r="AA227" s="7"/>
      <c r="AB227" s="7"/>
      <c r="AC227" s="7"/>
      <c r="AD227" s="7"/>
      <c r="AE227" s="7"/>
    </row>
    <row r="228" spans="1:31" ht="12.75">
      <c r="A228" s="89"/>
      <c r="B228" s="89"/>
      <c r="C228" s="89"/>
      <c r="D228" s="89"/>
      <c r="E228" s="89"/>
      <c r="F228" s="89"/>
      <c r="G228" s="89"/>
      <c r="H228" s="89"/>
      <c r="I228" s="89"/>
      <c r="J228" s="89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  <c r="AA228" s="7"/>
      <c r="AB228" s="7"/>
      <c r="AC228" s="7"/>
      <c r="AD228" s="7"/>
      <c r="AE228" s="7"/>
    </row>
    <row r="229" spans="1:10" ht="12.75">
      <c r="A229" s="86"/>
      <c r="B229" s="86"/>
      <c r="C229" s="86"/>
      <c r="D229" s="86"/>
      <c r="E229" s="86"/>
      <c r="F229" s="86"/>
      <c r="G229" s="86"/>
      <c r="H229" s="86"/>
      <c r="I229" s="86"/>
      <c r="J229" s="86"/>
    </row>
    <row r="230" spans="1:10" ht="12.75">
      <c r="A230" s="107"/>
      <c r="B230" s="107"/>
      <c r="C230" s="107"/>
      <c r="D230" s="107"/>
      <c r="E230" s="107"/>
      <c r="F230" s="107"/>
      <c r="G230" s="107"/>
      <c r="H230" s="107"/>
      <c r="I230" s="107"/>
      <c r="J230" s="86"/>
    </row>
    <row r="231" spans="1:10" ht="12.75">
      <c r="A231" s="107"/>
      <c r="B231" s="107"/>
      <c r="C231" s="107"/>
      <c r="D231" s="107"/>
      <c r="E231" s="107"/>
      <c r="F231" s="107"/>
      <c r="G231" s="107"/>
      <c r="H231" s="107"/>
      <c r="I231" s="107"/>
      <c r="J231" s="86"/>
    </row>
    <row r="232" spans="1:10" ht="12.75">
      <c r="A232" s="86"/>
      <c r="B232" s="86"/>
      <c r="C232" s="86"/>
      <c r="D232" s="86"/>
      <c r="E232" s="86"/>
      <c r="F232" s="86"/>
      <c r="G232" s="86"/>
      <c r="H232" s="86"/>
      <c r="I232" s="86"/>
      <c r="J232" s="86"/>
    </row>
    <row r="233" spans="1:10" ht="12.75">
      <c r="A233" s="98"/>
      <c r="B233" s="98"/>
      <c r="C233" s="98"/>
      <c r="D233" s="98"/>
      <c r="E233" s="98"/>
      <c r="F233" s="98"/>
      <c r="G233" s="98"/>
      <c r="H233" s="107"/>
      <c r="I233" s="98"/>
      <c r="J233" s="98"/>
    </row>
    <row r="234" spans="1:10" ht="12.75">
      <c r="A234" s="98"/>
      <c r="B234" s="98"/>
      <c r="C234" s="98"/>
      <c r="D234" s="98"/>
      <c r="E234" s="98"/>
      <c r="F234" s="98"/>
      <c r="G234" s="98"/>
      <c r="H234" s="107"/>
      <c r="I234" s="98"/>
      <c r="J234" s="98"/>
    </row>
    <row r="235" spans="1:10" ht="12.75">
      <c r="A235" s="98"/>
      <c r="B235" s="98"/>
      <c r="C235" s="98"/>
      <c r="D235" s="98"/>
      <c r="E235" s="98"/>
      <c r="F235" s="98"/>
      <c r="G235" s="98"/>
      <c r="H235" s="107"/>
      <c r="I235" s="98"/>
      <c r="J235" s="98"/>
    </row>
    <row r="236" spans="1:9" ht="12.75">
      <c r="A236" s="98"/>
      <c r="B236" s="98"/>
      <c r="C236" s="98"/>
      <c r="D236" s="98"/>
      <c r="E236" s="98"/>
      <c r="F236" s="98"/>
      <c r="G236" s="98"/>
      <c r="H236" s="107"/>
      <c r="I236" s="98"/>
    </row>
    <row r="237" spans="1:9" ht="12.75">
      <c r="A237" s="98"/>
      <c r="B237" s="98"/>
      <c r="C237" s="98"/>
      <c r="D237" s="98"/>
      <c r="E237" s="98"/>
      <c r="F237" s="98"/>
      <c r="G237" s="98"/>
      <c r="H237" s="107"/>
      <c r="I237" s="98"/>
    </row>
    <row r="238" spans="1:9" ht="12.75">
      <c r="A238" s="98"/>
      <c r="B238" s="98"/>
      <c r="C238" s="98"/>
      <c r="D238" s="98"/>
      <c r="E238" s="98"/>
      <c r="F238" s="98"/>
      <c r="G238" s="98"/>
      <c r="H238" s="107"/>
      <c r="I238" s="98"/>
    </row>
    <row r="239" spans="1:9" ht="12.75">
      <c r="A239" s="98"/>
      <c r="B239" s="98"/>
      <c r="C239" s="98"/>
      <c r="D239" s="98"/>
      <c r="E239" s="98"/>
      <c r="F239" s="98"/>
      <c r="G239" s="98"/>
      <c r="H239" s="107"/>
      <c r="I239" s="98"/>
    </row>
    <row r="240" spans="1:9" ht="12.75">
      <c r="A240" s="98"/>
      <c r="B240" s="98"/>
      <c r="C240" s="98"/>
      <c r="D240" s="98"/>
      <c r="E240" s="98"/>
      <c r="F240" s="98"/>
      <c r="G240" s="98"/>
      <c r="H240" s="107"/>
      <c r="I240" s="98"/>
    </row>
    <row r="241" spans="1:9" ht="12.75">
      <c r="A241" s="98"/>
      <c r="B241" s="98"/>
      <c r="C241" s="98"/>
      <c r="D241" s="98"/>
      <c r="E241" s="98"/>
      <c r="F241" s="98"/>
      <c r="G241" s="98"/>
      <c r="H241" s="107"/>
      <c r="I241" s="98"/>
    </row>
    <row r="242" spans="1:9" ht="12.75">
      <c r="A242" s="98"/>
      <c r="B242" s="98"/>
      <c r="C242" s="98"/>
      <c r="D242" s="98"/>
      <c r="E242" s="98"/>
      <c r="F242" s="98"/>
      <c r="G242" s="98"/>
      <c r="H242" s="107"/>
      <c r="I242" s="98"/>
    </row>
    <row r="243" spans="1:9" ht="12.75">
      <c r="A243" s="98"/>
      <c r="B243" s="98"/>
      <c r="C243" s="98"/>
      <c r="D243" s="98"/>
      <c r="E243" s="98"/>
      <c r="F243" s="98"/>
      <c r="G243" s="98"/>
      <c r="H243" s="107"/>
      <c r="I243" s="98"/>
    </row>
    <row r="244" spans="1:9" ht="12.75">
      <c r="A244" s="98"/>
      <c r="B244" s="98"/>
      <c r="C244" s="98"/>
      <c r="D244" s="98"/>
      <c r="E244" s="98"/>
      <c r="F244" s="98"/>
      <c r="G244" s="98"/>
      <c r="H244" s="107"/>
      <c r="I244" s="98"/>
    </row>
    <row r="245" spans="1:9" ht="12.75">
      <c r="A245" s="98"/>
      <c r="B245" s="98"/>
      <c r="C245" s="98"/>
      <c r="D245" s="98"/>
      <c r="E245" s="98"/>
      <c r="F245" s="98"/>
      <c r="G245" s="98"/>
      <c r="H245" s="107"/>
      <c r="I245" s="98"/>
    </row>
    <row r="246" spans="1:9" ht="12.75">
      <c r="A246" s="98"/>
      <c r="B246" s="98"/>
      <c r="C246" s="98"/>
      <c r="D246" s="98"/>
      <c r="E246" s="98"/>
      <c r="F246" s="98"/>
      <c r="G246" s="98"/>
      <c r="H246" s="107"/>
      <c r="I246" s="98"/>
    </row>
    <row r="247" spans="1:9" ht="12.75">
      <c r="A247" s="98"/>
      <c r="B247" s="98"/>
      <c r="C247" s="98"/>
      <c r="D247" s="98"/>
      <c r="E247" s="98"/>
      <c r="F247" s="98"/>
      <c r="G247" s="98"/>
      <c r="H247" s="107"/>
      <c r="I247" s="98"/>
    </row>
    <row r="248" spans="1:9" ht="12.75">
      <c r="A248" s="98"/>
      <c r="B248" s="98"/>
      <c r="C248" s="98"/>
      <c r="D248" s="98"/>
      <c r="E248" s="98"/>
      <c r="F248" s="98"/>
      <c r="G248" s="98"/>
      <c r="H248" s="107"/>
      <c r="I248" s="98"/>
    </row>
    <row r="249" spans="1:9" ht="12.75">
      <c r="A249" s="98"/>
      <c r="B249" s="98"/>
      <c r="C249" s="98"/>
      <c r="D249" s="98"/>
      <c r="E249" s="98"/>
      <c r="F249" s="98"/>
      <c r="G249" s="98"/>
      <c r="H249" s="107"/>
      <c r="I249" s="98"/>
    </row>
    <row r="250" spans="1:9" ht="12.75">
      <c r="A250" s="98"/>
      <c r="B250" s="98"/>
      <c r="C250" s="98"/>
      <c r="D250" s="98"/>
      <c r="E250" s="98"/>
      <c r="F250" s="98"/>
      <c r="G250" s="98"/>
      <c r="H250" s="107"/>
      <c r="I250" s="98"/>
    </row>
  </sheetData>
  <sheetProtection password="C74E" sheet="1" objects="1" scenarios="1"/>
  <mergeCells count="41">
    <mergeCell ref="G10:H10"/>
    <mergeCell ref="G11:H11"/>
    <mergeCell ref="G12:H12"/>
    <mergeCell ref="A7:C7"/>
    <mergeCell ref="D7:F7"/>
    <mergeCell ref="G7:I7"/>
    <mergeCell ref="A4:C4"/>
    <mergeCell ref="D4:E4"/>
    <mergeCell ref="G4:H4"/>
    <mergeCell ref="A5:C5"/>
    <mergeCell ref="D5:E5"/>
    <mergeCell ref="G5:H5"/>
    <mergeCell ref="G29:H29"/>
    <mergeCell ref="G15:H15"/>
    <mergeCell ref="G16:H16"/>
    <mergeCell ref="G17:H17"/>
    <mergeCell ref="G18:H18"/>
    <mergeCell ref="G19:H19"/>
    <mergeCell ref="G20:H20"/>
    <mergeCell ref="G21:H21"/>
    <mergeCell ref="G22:H22"/>
    <mergeCell ref="G25:H25"/>
    <mergeCell ref="G26:H26"/>
    <mergeCell ref="G27:H27"/>
    <mergeCell ref="G28:H28"/>
    <mergeCell ref="G49:H49"/>
    <mergeCell ref="G38:H38"/>
    <mergeCell ref="G39:H39"/>
    <mergeCell ref="G43:H43"/>
    <mergeCell ref="G44:H44"/>
    <mergeCell ref="G35:H35"/>
    <mergeCell ref="G36:H36"/>
    <mergeCell ref="G37:H37"/>
    <mergeCell ref="G47:H47"/>
    <mergeCell ref="G48:H48"/>
    <mergeCell ref="G42:H42"/>
    <mergeCell ref="G30:H30"/>
    <mergeCell ref="G31:H31"/>
    <mergeCell ref="G32:H32"/>
    <mergeCell ref="G33:H33"/>
    <mergeCell ref="G34:H34"/>
  </mergeCells>
  <printOptions/>
  <pageMargins left="0.7479166666666667" right="0.2902777777777778" top="0.22013888888888888" bottom="0.4097222222222222" header="0.5118055555555555" footer="0.20972222222222223"/>
  <pageSetup horizontalDpi="600" verticalDpi="600" orientation="portrait" paperSize="9" scale="99" r:id="rId4"/>
  <headerFooter alignWithMargins="0">
    <oddFooter>&amp;CSida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180"/>
  <sheetViews>
    <sheetView showGridLines="0" showZeros="0" zoomScale="120" zoomScaleNormal="120" zoomScalePageLayoutView="0" workbookViewId="0" topLeftCell="A1">
      <selection activeCell="A12" sqref="A12:G12"/>
    </sheetView>
  </sheetViews>
  <sheetFormatPr defaultColWidth="9.140625" defaultRowHeight="12.75"/>
  <cols>
    <col min="1" max="1" width="10.140625" style="108" customWidth="1"/>
    <col min="2" max="4" width="9.140625" style="108" customWidth="1"/>
    <col min="5" max="5" width="16.421875" style="108" customWidth="1"/>
    <col min="6" max="6" width="10.140625" style="108" customWidth="1"/>
    <col min="7" max="7" width="10.57421875" style="108" customWidth="1"/>
    <col min="8" max="8" width="13.8515625" style="108" customWidth="1"/>
    <col min="9" max="16384" width="9.140625" style="108" customWidth="1"/>
  </cols>
  <sheetData>
    <row r="1" spans="1:24" ht="15.75">
      <c r="A1" s="109"/>
      <c r="B1" s="110"/>
      <c r="C1" s="63"/>
      <c r="E1" s="111"/>
      <c r="F1" s="86"/>
      <c r="G1" s="86"/>
      <c r="H1" s="8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112"/>
    </row>
    <row r="2" spans="1:24" ht="15.75">
      <c r="A2" s="109"/>
      <c r="B2" s="110"/>
      <c r="C2" s="63"/>
      <c r="E2" s="111"/>
      <c r="F2" s="86"/>
      <c r="G2" s="86"/>
      <c r="H2" s="8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112"/>
    </row>
    <row r="3" spans="1:24" ht="15.75">
      <c r="A3" s="109"/>
      <c r="B3" s="110"/>
      <c r="C3" s="63"/>
      <c r="D3" s="63"/>
      <c r="E3" s="111" t="s">
        <v>58</v>
      </c>
      <c r="F3" s="86"/>
      <c r="G3" s="86"/>
      <c r="H3" s="8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112"/>
    </row>
    <row r="4" spans="1:24" ht="15.75">
      <c r="A4" s="109"/>
      <c r="B4" s="110"/>
      <c r="C4" s="63"/>
      <c r="D4" s="63"/>
      <c r="E4" s="111"/>
      <c r="F4" s="86"/>
      <c r="G4" s="86"/>
      <c r="H4" s="8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12"/>
    </row>
    <row r="5" spans="1:23" s="120" customFormat="1" ht="11.25" customHeight="1">
      <c r="A5" s="113" t="s">
        <v>1</v>
      </c>
      <c r="B5" s="114"/>
      <c r="C5" s="113" t="s">
        <v>2</v>
      </c>
      <c r="D5" s="115"/>
      <c r="E5" s="116"/>
      <c r="F5" s="117" t="s">
        <v>4</v>
      </c>
      <c r="G5" s="118"/>
      <c r="H5" s="119" t="s">
        <v>5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4" ht="12.75">
      <c r="A6" s="121"/>
      <c r="B6" s="122"/>
      <c r="C6" s="123">
        <f>'Kalkyl-Total'!D4</f>
        <v>0</v>
      </c>
      <c r="D6" s="124"/>
      <c r="E6" s="125"/>
      <c r="F6" s="126"/>
      <c r="G6" s="127"/>
      <c r="H6" s="128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112"/>
    </row>
    <row r="7" spans="1:24" ht="12.75">
      <c r="A7" s="129" t="str">
        <f>'Kalkyl-Total'!A4</f>
        <v>Erica Bernardin           </v>
      </c>
      <c r="B7" s="130"/>
      <c r="C7" s="131">
        <f>'Kalkyl-Total'!D5</f>
        <v>0</v>
      </c>
      <c r="D7" s="132"/>
      <c r="E7" s="130"/>
      <c r="F7" s="131" t="str">
        <f>'Kalkyl-Total'!G4</f>
        <v>Månsabovägen 19</v>
      </c>
      <c r="G7" s="133"/>
      <c r="H7" s="134">
        <f>'Kalkyl-Total'!I4</f>
        <v>45020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112"/>
    </row>
    <row r="8" spans="1:23" s="120" customFormat="1" ht="10.5" customHeight="1">
      <c r="A8" s="117" t="s">
        <v>9</v>
      </c>
      <c r="B8" s="135"/>
      <c r="C8" s="117" t="s">
        <v>10</v>
      </c>
      <c r="D8" s="136"/>
      <c r="E8" s="135"/>
      <c r="F8" s="113" t="s">
        <v>11</v>
      </c>
      <c r="G8" s="114"/>
      <c r="H8" s="137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4" ht="12.75">
      <c r="A9" s="131" t="str">
        <f>'Kalkyl-Total'!A7</f>
        <v>Villa Fredriksdal</v>
      </c>
      <c r="B9" s="130"/>
      <c r="C9" s="131">
        <f>'Kalkyl-Total'!D7</f>
        <v>0</v>
      </c>
      <c r="D9" s="132"/>
      <c r="E9" s="130"/>
      <c r="F9" s="138" t="str">
        <f>'Kalkyl-Total'!G7</f>
        <v>Vaggeryd</v>
      </c>
      <c r="G9" s="133"/>
      <c r="H9" s="139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112"/>
    </row>
    <row r="10" spans="1:24" ht="15" customHeight="1">
      <c r="A10" s="140"/>
      <c r="B10" s="141" t="s">
        <v>59</v>
      </c>
      <c r="C10" s="58"/>
      <c r="D10" s="58"/>
      <c r="E10" s="58"/>
      <c r="F10" s="142"/>
      <c r="G10" s="143"/>
      <c r="H10" s="444" t="s">
        <v>255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12"/>
    </row>
    <row r="11" spans="1:23" s="146" customFormat="1" ht="15.75">
      <c r="A11" s="557" t="s">
        <v>389</v>
      </c>
      <c r="B11" s="556"/>
      <c r="C11" s="556"/>
      <c r="D11" s="556"/>
      <c r="E11" s="556"/>
      <c r="F11" s="556"/>
      <c r="G11" s="556"/>
      <c r="H11" s="144">
        <v>27800</v>
      </c>
      <c r="I11" s="7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</row>
    <row r="12" spans="1:23" s="146" customFormat="1" ht="15.75">
      <c r="A12" s="556"/>
      <c r="B12" s="556"/>
      <c r="C12" s="556"/>
      <c r="D12" s="556"/>
      <c r="E12" s="556"/>
      <c r="F12" s="556"/>
      <c r="G12" s="556"/>
      <c r="H12" s="144"/>
      <c r="I12" s="7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</row>
    <row r="13" spans="1:23" s="146" customFormat="1" ht="15.75">
      <c r="A13" s="556"/>
      <c r="B13" s="556"/>
      <c r="C13" s="556"/>
      <c r="D13" s="556"/>
      <c r="E13" s="556"/>
      <c r="F13" s="556"/>
      <c r="G13" s="556"/>
      <c r="H13" s="144"/>
      <c r="I13" s="7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</row>
    <row r="14" spans="1:23" s="146" customFormat="1" ht="15.75">
      <c r="A14" s="556"/>
      <c r="B14" s="556"/>
      <c r="C14" s="556"/>
      <c r="D14" s="556"/>
      <c r="E14" s="556"/>
      <c r="F14" s="556"/>
      <c r="G14" s="556"/>
      <c r="H14" s="144"/>
      <c r="I14" s="7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</row>
    <row r="15" spans="1:23" s="146" customFormat="1" ht="15.75">
      <c r="A15" s="556"/>
      <c r="B15" s="556"/>
      <c r="C15" s="556"/>
      <c r="D15" s="556"/>
      <c r="E15" s="556"/>
      <c r="F15" s="556"/>
      <c r="G15" s="556"/>
      <c r="H15" s="144"/>
      <c r="I15" s="7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</row>
    <row r="16" spans="1:23" s="146" customFormat="1" ht="15.75">
      <c r="A16" s="556"/>
      <c r="B16" s="556"/>
      <c r="C16" s="556"/>
      <c r="D16" s="556"/>
      <c r="E16" s="556"/>
      <c r="F16" s="556"/>
      <c r="G16" s="556"/>
      <c r="H16" s="144"/>
      <c r="I16" s="7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</row>
    <row r="17" spans="1:23" s="146" customFormat="1" ht="15.75">
      <c r="A17" s="556"/>
      <c r="B17" s="556"/>
      <c r="C17" s="556"/>
      <c r="D17" s="556"/>
      <c r="E17" s="556"/>
      <c r="F17" s="556"/>
      <c r="G17" s="556"/>
      <c r="H17" s="144"/>
      <c r="I17" s="7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</row>
    <row r="18" spans="1:23" s="146" customFormat="1" ht="15.75">
      <c r="A18" s="556"/>
      <c r="B18" s="556"/>
      <c r="C18" s="556"/>
      <c r="D18" s="556"/>
      <c r="E18" s="556"/>
      <c r="F18" s="556"/>
      <c r="G18" s="556"/>
      <c r="H18" s="144"/>
      <c r="I18" s="7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</row>
    <row r="19" spans="1:23" s="146" customFormat="1" ht="15.75">
      <c r="A19" s="556"/>
      <c r="B19" s="556"/>
      <c r="C19" s="556"/>
      <c r="D19" s="556"/>
      <c r="E19" s="556"/>
      <c r="F19" s="556"/>
      <c r="G19" s="556"/>
      <c r="H19" s="144"/>
      <c r="I19" s="7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</row>
    <row r="20" spans="1:23" s="146" customFormat="1" ht="15.75">
      <c r="A20" s="556"/>
      <c r="B20" s="556"/>
      <c r="C20" s="556"/>
      <c r="D20" s="556"/>
      <c r="E20" s="556"/>
      <c r="F20" s="556"/>
      <c r="G20" s="556"/>
      <c r="H20" s="144"/>
      <c r="I20" s="7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</row>
    <row r="21" spans="1:23" s="146" customFormat="1" ht="15.75">
      <c r="A21" s="556"/>
      <c r="B21" s="556"/>
      <c r="C21" s="556"/>
      <c r="D21" s="556"/>
      <c r="E21" s="556"/>
      <c r="F21" s="556"/>
      <c r="G21" s="556"/>
      <c r="H21" s="144"/>
      <c r="I21" s="7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</row>
    <row r="22" spans="1:23" s="146" customFormat="1" ht="15.75">
      <c r="A22" s="556"/>
      <c r="B22" s="556"/>
      <c r="C22" s="556"/>
      <c r="D22" s="556"/>
      <c r="E22" s="556"/>
      <c r="F22" s="556"/>
      <c r="G22" s="556"/>
      <c r="H22" s="144"/>
      <c r="I22" s="7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</row>
    <row r="23" spans="1:23" s="146" customFormat="1" ht="15.75">
      <c r="A23" s="556"/>
      <c r="B23" s="556"/>
      <c r="C23" s="556"/>
      <c r="D23" s="556"/>
      <c r="E23" s="556"/>
      <c r="F23" s="556"/>
      <c r="G23" s="556"/>
      <c r="H23" s="144"/>
      <c r="I23" s="7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</row>
    <row r="24" spans="1:23" s="146" customFormat="1" ht="15.75">
      <c r="A24" s="556"/>
      <c r="B24" s="556"/>
      <c r="C24" s="556"/>
      <c r="D24" s="556"/>
      <c r="E24" s="556"/>
      <c r="F24" s="556"/>
      <c r="G24" s="556"/>
      <c r="H24" s="144"/>
      <c r="I24" s="7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</row>
    <row r="25" spans="1:23" s="146" customFormat="1" ht="15.75">
      <c r="A25" s="556"/>
      <c r="B25" s="556"/>
      <c r="C25" s="556"/>
      <c r="D25" s="556"/>
      <c r="E25" s="556"/>
      <c r="F25" s="556"/>
      <c r="G25" s="556"/>
      <c r="H25" s="144"/>
      <c r="I25" s="7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</row>
    <row r="26" spans="1:23" s="146" customFormat="1" ht="15.75">
      <c r="A26" s="556"/>
      <c r="B26" s="556"/>
      <c r="C26" s="556"/>
      <c r="D26" s="556"/>
      <c r="E26" s="556"/>
      <c r="F26" s="556"/>
      <c r="G26" s="556"/>
      <c r="H26" s="144"/>
      <c r="I26" s="7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</row>
    <row r="27" spans="1:23" s="146" customFormat="1" ht="15.75">
      <c r="A27" s="556"/>
      <c r="B27" s="556"/>
      <c r="C27" s="556"/>
      <c r="D27" s="556"/>
      <c r="E27" s="556"/>
      <c r="F27" s="556"/>
      <c r="G27" s="556"/>
      <c r="H27" s="144"/>
      <c r="I27" s="7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</row>
    <row r="28" spans="1:23" s="146" customFormat="1" ht="15.75">
      <c r="A28" s="556"/>
      <c r="B28" s="556"/>
      <c r="C28" s="556"/>
      <c r="D28" s="556"/>
      <c r="E28" s="556"/>
      <c r="F28" s="556"/>
      <c r="G28" s="556"/>
      <c r="H28" s="144"/>
      <c r="I28" s="7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</row>
    <row r="29" spans="1:23" s="146" customFormat="1" ht="15.75">
      <c r="A29" s="556"/>
      <c r="B29" s="556"/>
      <c r="C29" s="556"/>
      <c r="D29" s="556"/>
      <c r="E29" s="556"/>
      <c r="F29" s="556"/>
      <c r="G29" s="556"/>
      <c r="H29" s="144"/>
      <c r="I29" s="7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</row>
    <row r="30" spans="1:23" s="146" customFormat="1" ht="15.75">
      <c r="A30" s="556"/>
      <c r="B30" s="556"/>
      <c r="C30" s="556"/>
      <c r="D30" s="556"/>
      <c r="E30" s="556"/>
      <c r="F30" s="556"/>
      <c r="G30" s="556"/>
      <c r="H30" s="144"/>
      <c r="I30" s="7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</row>
    <row r="31" spans="1:23" s="146" customFormat="1" ht="15.75">
      <c r="A31" s="556"/>
      <c r="B31" s="556"/>
      <c r="C31" s="556"/>
      <c r="D31" s="556"/>
      <c r="E31" s="556"/>
      <c r="F31" s="556"/>
      <c r="G31" s="556"/>
      <c r="H31" s="144"/>
      <c r="I31" s="7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</row>
    <row r="32" spans="1:23" s="146" customFormat="1" ht="15.75">
      <c r="A32" s="556"/>
      <c r="B32" s="556"/>
      <c r="C32" s="556"/>
      <c r="D32" s="556"/>
      <c r="E32" s="556"/>
      <c r="F32" s="556"/>
      <c r="G32" s="556"/>
      <c r="H32" s="144"/>
      <c r="I32" s="7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</row>
    <row r="33" spans="1:23" s="146" customFormat="1" ht="15.75">
      <c r="A33" s="556"/>
      <c r="B33" s="556"/>
      <c r="C33" s="556"/>
      <c r="D33" s="556"/>
      <c r="E33" s="556"/>
      <c r="F33" s="556"/>
      <c r="G33" s="556"/>
      <c r="H33" s="144"/>
      <c r="I33" s="7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</row>
    <row r="34" spans="1:23" s="146" customFormat="1" ht="15.75">
      <c r="A34" s="556"/>
      <c r="B34" s="556"/>
      <c r="C34" s="556"/>
      <c r="D34" s="556"/>
      <c r="E34" s="556"/>
      <c r="F34" s="556"/>
      <c r="G34" s="556"/>
      <c r="H34" s="144"/>
      <c r="I34" s="7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</row>
    <row r="35" spans="1:23" s="146" customFormat="1" ht="15.75">
      <c r="A35" s="556"/>
      <c r="B35" s="556"/>
      <c r="C35" s="556"/>
      <c r="D35" s="556"/>
      <c r="E35" s="556"/>
      <c r="F35" s="556"/>
      <c r="G35" s="556"/>
      <c r="H35" s="144"/>
      <c r="I35" s="7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</row>
    <row r="36" spans="1:23" s="146" customFormat="1" ht="15.75">
      <c r="A36" s="556"/>
      <c r="B36" s="556"/>
      <c r="C36" s="556"/>
      <c r="D36" s="556"/>
      <c r="E36" s="556"/>
      <c r="F36" s="556"/>
      <c r="G36" s="556"/>
      <c r="H36" s="144"/>
      <c r="I36" s="7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</row>
    <row r="37" spans="1:23" s="146" customFormat="1" ht="15.75">
      <c r="A37" s="556"/>
      <c r="B37" s="556"/>
      <c r="C37" s="556"/>
      <c r="D37" s="556"/>
      <c r="E37" s="556"/>
      <c r="F37" s="556"/>
      <c r="G37" s="556"/>
      <c r="H37" s="144"/>
      <c r="I37" s="7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</row>
    <row r="38" spans="1:23" s="146" customFormat="1" ht="15.75">
      <c r="A38" s="556"/>
      <c r="B38" s="556"/>
      <c r="C38" s="556"/>
      <c r="D38" s="556"/>
      <c r="E38" s="556"/>
      <c r="F38" s="556"/>
      <c r="G38" s="556"/>
      <c r="H38" s="144"/>
      <c r="I38" s="7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</row>
    <row r="39" spans="1:23" s="146" customFormat="1" ht="15.75">
      <c r="A39" s="556"/>
      <c r="B39" s="556"/>
      <c r="C39" s="556"/>
      <c r="D39" s="556"/>
      <c r="E39" s="556"/>
      <c r="F39" s="556"/>
      <c r="G39" s="556"/>
      <c r="H39" s="144"/>
      <c r="I39" s="7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</row>
    <row r="40" spans="1:23" s="146" customFormat="1" ht="15.75">
      <c r="A40" s="556"/>
      <c r="B40" s="556"/>
      <c r="C40" s="556"/>
      <c r="D40" s="556"/>
      <c r="E40" s="556"/>
      <c r="F40" s="556"/>
      <c r="G40" s="556"/>
      <c r="H40" s="144"/>
      <c r="I40" s="7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</row>
    <row r="41" spans="1:23" s="146" customFormat="1" ht="15.75">
      <c r="A41" s="556"/>
      <c r="B41" s="556"/>
      <c r="C41" s="556"/>
      <c r="D41" s="556"/>
      <c r="E41" s="556"/>
      <c r="F41" s="556"/>
      <c r="G41" s="556"/>
      <c r="H41" s="144"/>
      <c r="I41" s="7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</row>
    <row r="42" spans="1:23" s="146" customFormat="1" ht="15.75">
      <c r="A42" s="556"/>
      <c r="B42" s="556"/>
      <c r="C42" s="556"/>
      <c r="D42" s="556"/>
      <c r="E42" s="556"/>
      <c r="F42" s="556"/>
      <c r="G42" s="556"/>
      <c r="H42" s="144"/>
      <c r="I42" s="7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</row>
    <row r="43" spans="1:23" s="146" customFormat="1" ht="15.75">
      <c r="A43" s="556"/>
      <c r="B43" s="556"/>
      <c r="C43" s="556"/>
      <c r="D43" s="556"/>
      <c r="E43" s="556"/>
      <c r="F43" s="556"/>
      <c r="G43" s="556"/>
      <c r="H43" s="144"/>
      <c r="I43" s="7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</row>
    <row r="44" spans="1:23" s="146" customFormat="1" ht="15.75">
      <c r="A44" s="556"/>
      <c r="B44" s="556"/>
      <c r="C44" s="556"/>
      <c r="D44" s="556"/>
      <c r="E44" s="556"/>
      <c r="F44" s="556"/>
      <c r="G44" s="556"/>
      <c r="H44" s="144"/>
      <c r="I44" s="7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</row>
    <row r="45" spans="1:23" s="146" customFormat="1" ht="15.75">
      <c r="A45" s="556"/>
      <c r="B45" s="556"/>
      <c r="C45" s="556"/>
      <c r="D45" s="556"/>
      <c r="E45" s="556"/>
      <c r="F45" s="556"/>
      <c r="G45" s="556"/>
      <c r="H45" s="144"/>
      <c r="I45" s="7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</row>
    <row r="46" spans="1:23" s="146" customFormat="1" ht="15.75">
      <c r="A46" s="147" t="s">
        <v>60</v>
      </c>
      <c r="B46" s="148"/>
      <c r="C46" s="149"/>
      <c r="D46" s="149"/>
      <c r="E46" s="150"/>
      <c r="F46" s="151"/>
      <c r="G46" s="151"/>
      <c r="H46" s="152">
        <f>SUM(H11:H45)</f>
        <v>27800</v>
      </c>
      <c r="I46" s="7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</row>
    <row r="47" spans="1:24" ht="12.75">
      <c r="A47" s="153" t="str">
        <f>'Kalkyl-Total'!A56</f>
        <v>Rev. 2019-02-05 BP</v>
      </c>
      <c r="B47" s="124"/>
      <c r="C47" s="154"/>
      <c r="D47" s="154"/>
      <c r="E47" s="154"/>
      <c r="F47" s="155"/>
      <c r="G47" s="155"/>
      <c r="H47" s="86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112"/>
    </row>
    <row r="48" spans="1:24" ht="12.75">
      <c r="A48" s="156"/>
      <c r="B48" s="124"/>
      <c r="C48" s="154"/>
      <c r="D48" s="154"/>
      <c r="E48" s="154"/>
      <c r="F48" s="157"/>
      <c r="G48" s="157"/>
      <c r="H48" s="86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112"/>
    </row>
    <row r="49" spans="1:24" ht="12.75" customHeight="1">
      <c r="A49" s="156"/>
      <c r="B49" s="124"/>
      <c r="C49" s="154"/>
      <c r="D49" s="154"/>
      <c r="E49" s="154"/>
      <c r="F49" s="86"/>
      <c r="G49" s="86"/>
      <c r="H49" s="86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112"/>
    </row>
    <row r="50" spans="1:24" ht="12.75" customHeight="1">
      <c r="A50" s="156"/>
      <c r="B50" s="124"/>
      <c r="C50" s="154"/>
      <c r="D50" s="154"/>
      <c r="E50" s="154"/>
      <c r="F50" s="86"/>
      <c r="G50" s="86"/>
      <c r="H50" s="86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112"/>
    </row>
    <row r="51" spans="1:24" ht="12.75" customHeight="1">
      <c r="A51" s="156"/>
      <c r="B51" s="124"/>
      <c r="C51" s="154"/>
      <c r="D51" s="154"/>
      <c r="E51" s="154"/>
      <c r="F51" s="86"/>
      <c r="G51" s="86"/>
      <c r="H51" s="86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112"/>
    </row>
    <row r="52" spans="1:24" ht="12.75" customHeight="1">
      <c r="A52" s="156"/>
      <c r="B52" s="124"/>
      <c r="C52" s="154"/>
      <c r="D52" s="154"/>
      <c r="E52" s="154"/>
      <c r="F52" s="86"/>
      <c r="G52" s="86"/>
      <c r="H52" s="86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112"/>
    </row>
    <row r="53" spans="1:9" ht="12.75">
      <c r="A53" s="112"/>
      <c r="B53" s="112"/>
      <c r="C53" s="112"/>
      <c r="D53" s="112"/>
      <c r="E53" s="112"/>
      <c r="F53" s="112"/>
      <c r="G53" s="112"/>
      <c r="H53" s="112"/>
      <c r="I53" s="112"/>
    </row>
    <row r="54" spans="1:9" ht="12.75">
      <c r="A54" s="112"/>
      <c r="B54" s="112"/>
      <c r="C54" s="112"/>
      <c r="D54" s="112"/>
      <c r="E54" s="112"/>
      <c r="F54" s="112"/>
      <c r="G54" s="112"/>
      <c r="H54" s="112"/>
      <c r="I54" s="112"/>
    </row>
    <row r="55" spans="1:9" ht="12.75">
      <c r="A55" s="112"/>
      <c r="B55" s="112"/>
      <c r="C55" s="112"/>
      <c r="D55" s="112"/>
      <c r="E55" s="112"/>
      <c r="F55" s="112"/>
      <c r="G55" s="112"/>
      <c r="H55" s="112"/>
      <c r="I55" s="112"/>
    </row>
    <row r="56" spans="1:9" ht="12.75">
      <c r="A56" s="112"/>
      <c r="B56" s="112"/>
      <c r="C56" s="112"/>
      <c r="D56" s="112"/>
      <c r="E56" s="112"/>
      <c r="F56" s="112"/>
      <c r="G56" s="112"/>
      <c r="H56" s="112"/>
      <c r="I56" s="112"/>
    </row>
    <row r="57" spans="1:9" ht="12.75">
      <c r="A57" s="112"/>
      <c r="B57" s="112"/>
      <c r="C57" s="112"/>
      <c r="D57" s="112"/>
      <c r="E57" s="112"/>
      <c r="F57" s="112"/>
      <c r="G57" s="112"/>
      <c r="H57" s="112"/>
      <c r="I57" s="112"/>
    </row>
    <row r="58" spans="1:9" ht="12.75">
      <c r="A58" s="112"/>
      <c r="B58" s="112"/>
      <c r="C58" s="112"/>
      <c r="D58" s="112"/>
      <c r="E58" s="112"/>
      <c r="F58" s="112"/>
      <c r="G58" s="112"/>
      <c r="H58" s="112"/>
      <c r="I58" s="112"/>
    </row>
    <row r="59" spans="1:9" ht="12.75">
      <c r="A59" s="112"/>
      <c r="B59" s="112"/>
      <c r="C59" s="112"/>
      <c r="D59" s="112"/>
      <c r="E59" s="112"/>
      <c r="F59" s="112"/>
      <c r="G59" s="112"/>
      <c r="H59" s="112"/>
      <c r="I59" s="112"/>
    </row>
    <row r="60" spans="1:9" ht="12.75">
      <c r="A60" s="112"/>
      <c r="B60" s="112"/>
      <c r="C60" s="112"/>
      <c r="D60" s="112"/>
      <c r="E60" s="112"/>
      <c r="F60" s="112"/>
      <c r="G60" s="112"/>
      <c r="H60" s="112"/>
      <c r="I60" s="112"/>
    </row>
    <row r="61" spans="1:9" ht="12.75">
      <c r="A61" s="112"/>
      <c r="B61" s="112"/>
      <c r="C61" s="112"/>
      <c r="D61" s="112"/>
      <c r="E61" s="112"/>
      <c r="F61" s="112"/>
      <c r="G61" s="112"/>
      <c r="H61" s="112"/>
      <c r="I61" s="112"/>
    </row>
    <row r="62" spans="1:9" ht="12.75">
      <c r="A62" s="112"/>
      <c r="B62" s="112"/>
      <c r="C62" s="112"/>
      <c r="D62" s="112"/>
      <c r="E62" s="112"/>
      <c r="F62" s="112"/>
      <c r="G62" s="112"/>
      <c r="H62" s="112"/>
      <c r="I62" s="112"/>
    </row>
    <row r="63" spans="1:9" ht="12.75">
      <c r="A63" s="112"/>
      <c r="B63" s="112"/>
      <c r="C63" s="112"/>
      <c r="D63" s="112"/>
      <c r="E63" s="112"/>
      <c r="F63" s="112"/>
      <c r="G63" s="112"/>
      <c r="H63" s="112"/>
      <c r="I63" s="112"/>
    </row>
    <row r="64" spans="1:9" ht="12.75">
      <c r="A64" s="112"/>
      <c r="B64" s="112"/>
      <c r="C64" s="112"/>
      <c r="D64" s="112"/>
      <c r="E64" s="112"/>
      <c r="F64" s="112"/>
      <c r="G64" s="112"/>
      <c r="H64" s="112"/>
      <c r="I64" s="112"/>
    </row>
    <row r="65" spans="1:9" ht="12.75">
      <c r="A65" s="112"/>
      <c r="B65" s="112"/>
      <c r="C65" s="112"/>
      <c r="D65" s="112"/>
      <c r="E65" s="112"/>
      <c r="F65" s="112"/>
      <c r="G65" s="112"/>
      <c r="H65" s="112"/>
      <c r="I65" s="112"/>
    </row>
    <row r="66" spans="1:9" ht="12.75">
      <c r="A66" s="112"/>
      <c r="B66" s="112"/>
      <c r="C66" s="112"/>
      <c r="D66" s="112"/>
      <c r="E66" s="112"/>
      <c r="F66" s="112"/>
      <c r="G66" s="112"/>
      <c r="H66" s="112"/>
      <c r="I66" s="112"/>
    </row>
    <row r="67" spans="1:9" ht="12.75">
      <c r="A67" s="112"/>
      <c r="B67" s="112"/>
      <c r="C67" s="112"/>
      <c r="D67" s="112"/>
      <c r="E67" s="112"/>
      <c r="F67" s="112"/>
      <c r="G67" s="112"/>
      <c r="H67" s="112"/>
      <c r="I67" s="112"/>
    </row>
    <row r="68" spans="1:9" ht="12.75">
      <c r="A68" s="112"/>
      <c r="B68" s="112"/>
      <c r="C68" s="112"/>
      <c r="D68" s="112"/>
      <c r="E68" s="112"/>
      <c r="F68" s="112"/>
      <c r="G68" s="112"/>
      <c r="H68" s="112"/>
      <c r="I68" s="112"/>
    </row>
    <row r="69" spans="1:9" ht="12.75">
      <c r="A69" s="112"/>
      <c r="B69" s="112"/>
      <c r="C69" s="112"/>
      <c r="D69" s="112"/>
      <c r="E69" s="112"/>
      <c r="F69" s="112"/>
      <c r="G69" s="112"/>
      <c r="H69" s="112"/>
      <c r="I69" s="112"/>
    </row>
    <row r="70" spans="1:9" ht="12.75">
      <c r="A70" s="112"/>
      <c r="B70" s="112"/>
      <c r="C70" s="112"/>
      <c r="D70" s="112"/>
      <c r="E70" s="112"/>
      <c r="F70" s="112"/>
      <c r="G70" s="112"/>
      <c r="H70" s="112"/>
      <c r="I70" s="112"/>
    </row>
    <row r="71" spans="1:9" ht="12.75">
      <c r="A71" s="112"/>
      <c r="B71" s="112"/>
      <c r="C71" s="112"/>
      <c r="D71" s="112"/>
      <c r="E71" s="112"/>
      <c r="F71" s="112"/>
      <c r="G71" s="112"/>
      <c r="H71" s="112"/>
      <c r="I71" s="112"/>
    </row>
    <row r="72" spans="1:9" ht="12.75">
      <c r="A72" s="112"/>
      <c r="B72" s="112"/>
      <c r="C72" s="112"/>
      <c r="D72" s="112"/>
      <c r="E72" s="112"/>
      <c r="F72" s="112"/>
      <c r="G72" s="112"/>
      <c r="H72" s="112"/>
      <c r="I72" s="112"/>
    </row>
    <row r="73" spans="1:9" ht="12.75">
      <c r="A73" s="112"/>
      <c r="B73" s="112"/>
      <c r="C73" s="112"/>
      <c r="D73" s="112"/>
      <c r="E73" s="112"/>
      <c r="F73" s="112"/>
      <c r="G73" s="112"/>
      <c r="H73" s="112"/>
      <c r="I73" s="112"/>
    </row>
    <row r="74" spans="1:9" ht="12.75">
      <c r="A74" s="112"/>
      <c r="B74" s="112"/>
      <c r="C74" s="112"/>
      <c r="D74" s="112"/>
      <c r="E74" s="112"/>
      <c r="F74" s="112"/>
      <c r="G74" s="112"/>
      <c r="H74" s="112"/>
      <c r="I74" s="112"/>
    </row>
    <row r="75" spans="1:9" ht="12.75">
      <c r="A75" s="112"/>
      <c r="B75" s="112"/>
      <c r="C75" s="112"/>
      <c r="D75" s="112"/>
      <c r="E75" s="112"/>
      <c r="F75" s="112"/>
      <c r="G75" s="112"/>
      <c r="H75" s="112"/>
      <c r="I75" s="112"/>
    </row>
    <row r="76" spans="1:9" ht="12.75">
      <c r="A76" s="112"/>
      <c r="B76" s="112"/>
      <c r="C76" s="112"/>
      <c r="D76" s="112"/>
      <c r="E76" s="112"/>
      <c r="F76" s="112"/>
      <c r="G76" s="112"/>
      <c r="H76" s="112"/>
      <c r="I76" s="112"/>
    </row>
    <row r="77" spans="1:9" ht="12.75">
      <c r="A77" s="112"/>
      <c r="B77" s="112"/>
      <c r="C77" s="112"/>
      <c r="D77" s="112"/>
      <c r="E77" s="112"/>
      <c r="F77" s="112"/>
      <c r="G77" s="112"/>
      <c r="H77" s="112"/>
      <c r="I77" s="112"/>
    </row>
    <row r="78" spans="1:9" ht="12.75">
      <c r="A78" s="112"/>
      <c r="B78" s="112"/>
      <c r="C78" s="112"/>
      <c r="D78" s="112"/>
      <c r="E78" s="112"/>
      <c r="F78" s="112"/>
      <c r="G78" s="112"/>
      <c r="H78" s="112"/>
      <c r="I78" s="112"/>
    </row>
    <row r="79" spans="1:9" ht="12.75">
      <c r="A79" s="112"/>
      <c r="B79" s="112"/>
      <c r="C79" s="112"/>
      <c r="D79" s="112"/>
      <c r="E79" s="112"/>
      <c r="F79" s="112"/>
      <c r="G79" s="112"/>
      <c r="H79" s="112"/>
      <c r="I79" s="112"/>
    </row>
    <row r="80" spans="1:9" ht="12.75">
      <c r="A80" s="112"/>
      <c r="B80" s="112"/>
      <c r="C80" s="112"/>
      <c r="D80" s="112"/>
      <c r="E80" s="112"/>
      <c r="F80" s="112"/>
      <c r="G80" s="112"/>
      <c r="H80" s="112"/>
      <c r="I80" s="112"/>
    </row>
    <row r="81" spans="1:9" ht="12.75">
      <c r="A81" s="112"/>
      <c r="B81" s="112"/>
      <c r="C81" s="112"/>
      <c r="D81" s="112"/>
      <c r="E81" s="112"/>
      <c r="F81" s="112"/>
      <c r="G81" s="112"/>
      <c r="H81" s="112"/>
      <c r="I81" s="112"/>
    </row>
    <row r="82" spans="1:9" ht="12.75">
      <c r="A82" s="112"/>
      <c r="B82" s="112"/>
      <c r="C82" s="112"/>
      <c r="D82" s="112"/>
      <c r="E82" s="112"/>
      <c r="F82" s="112"/>
      <c r="G82" s="112"/>
      <c r="H82" s="112"/>
      <c r="I82" s="112"/>
    </row>
    <row r="83" spans="1:9" ht="12.75">
      <c r="A83" s="112"/>
      <c r="B83" s="112"/>
      <c r="C83" s="112"/>
      <c r="D83" s="112"/>
      <c r="E83" s="112"/>
      <c r="F83" s="112"/>
      <c r="G83" s="112"/>
      <c r="H83" s="112"/>
      <c r="I83" s="112"/>
    </row>
    <row r="84" spans="1:9" ht="12.75">
      <c r="A84" s="112"/>
      <c r="B84" s="112"/>
      <c r="C84" s="112"/>
      <c r="D84" s="112"/>
      <c r="E84" s="112"/>
      <c r="F84" s="112"/>
      <c r="G84" s="112"/>
      <c r="H84" s="112"/>
      <c r="I84" s="112"/>
    </row>
    <row r="85" spans="1:9" ht="12.75">
      <c r="A85" s="112"/>
      <c r="B85" s="112"/>
      <c r="C85" s="112"/>
      <c r="D85" s="112"/>
      <c r="E85" s="112"/>
      <c r="F85" s="112"/>
      <c r="G85" s="112"/>
      <c r="H85" s="112"/>
      <c r="I85" s="112"/>
    </row>
    <row r="86" spans="1:9" ht="12.75">
      <c r="A86" s="112"/>
      <c r="B86" s="112"/>
      <c r="C86" s="112"/>
      <c r="D86" s="112"/>
      <c r="E86" s="112"/>
      <c r="F86" s="112"/>
      <c r="G86" s="112"/>
      <c r="H86" s="112"/>
      <c r="I86" s="112"/>
    </row>
    <row r="87" spans="1:9" ht="12.75">
      <c r="A87" s="112"/>
      <c r="B87" s="112"/>
      <c r="C87" s="112"/>
      <c r="D87" s="112"/>
      <c r="E87" s="112"/>
      <c r="F87" s="112"/>
      <c r="G87" s="112"/>
      <c r="H87" s="112"/>
      <c r="I87" s="112"/>
    </row>
    <row r="88" spans="1:9" ht="12.75">
      <c r="A88" s="112"/>
      <c r="B88" s="112"/>
      <c r="C88" s="112"/>
      <c r="D88" s="112"/>
      <c r="E88" s="112"/>
      <c r="F88" s="112"/>
      <c r="G88" s="112"/>
      <c r="H88" s="112"/>
      <c r="I88" s="112"/>
    </row>
    <row r="89" spans="1:9" ht="12.75">
      <c r="A89" s="112"/>
      <c r="B89" s="112"/>
      <c r="C89" s="112"/>
      <c r="D89" s="112"/>
      <c r="E89" s="112"/>
      <c r="F89" s="112"/>
      <c r="G89" s="112"/>
      <c r="H89" s="112"/>
      <c r="I89" s="112"/>
    </row>
    <row r="90" spans="1:9" ht="12.75">
      <c r="A90" s="112"/>
      <c r="B90" s="112"/>
      <c r="C90" s="112"/>
      <c r="D90" s="112"/>
      <c r="E90" s="112"/>
      <c r="F90" s="112"/>
      <c r="G90" s="112"/>
      <c r="H90" s="112"/>
      <c r="I90" s="112"/>
    </row>
    <row r="91" spans="1:9" ht="12.75">
      <c r="A91" s="112"/>
      <c r="B91" s="112"/>
      <c r="C91" s="112"/>
      <c r="D91" s="112"/>
      <c r="E91" s="112"/>
      <c r="F91" s="112"/>
      <c r="G91" s="112"/>
      <c r="H91" s="112"/>
      <c r="I91" s="112"/>
    </row>
    <row r="92" spans="1:9" ht="12.75">
      <c r="A92" s="112"/>
      <c r="B92" s="112"/>
      <c r="C92" s="112"/>
      <c r="D92" s="112"/>
      <c r="E92" s="112"/>
      <c r="F92" s="112"/>
      <c r="G92" s="112"/>
      <c r="H92" s="112"/>
      <c r="I92" s="112"/>
    </row>
    <row r="93" spans="1:9" ht="12.75">
      <c r="A93" s="112"/>
      <c r="B93" s="112"/>
      <c r="C93" s="112"/>
      <c r="D93" s="112"/>
      <c r="E93" s="112"/>
      <c r="F93" s="112"/>
      <c r="G93" s="112"/>
      <c r="H93" s="112"/>
      <c r="I93" s="112"/>
    </row>
    <row r="94" spans="1:9" ht="12.75">
      <c r="A94" s="112"/>
      <c r="B94" s="112"/>
      <c r="C94" s="112"/>
      <c r="D94" s="112"/>
      <c r="E94" s="112"/>
      <c r="F94" s="112"/>
      <c r="G94" s="112"/>
      <c r="H94" s="112"/>
      <c r="I94" s="112"/>
    </row>
    <row r="95" spans="1:9" ht="12.75">
      <c r="A95" s="112"/>
      <c r="B95" s="112"/>
      <c r="C95" s="112"/>
      <c r="D95" s="112"/>
      <c r="E95" s="112"/>
      <c r="F95" s="112"/>
      <c r="G95" s="112"/>
      <c r="H95" s="112"/>
      <c r="I95" s="112"/>
    </row>
    <row r="96" spans="1:9" ht="12.75">
      <c r="A96" s="112"/>
      <c r="B96" s="112"/>
      <c r="C96" s="112"/>
      <c r="D96" s="112"/>
      <c r="E96" s="112"/>
      <c r="F96" s="112"/>
      <c r="G96" s="112"/>
      <c r="H96" s="112"/>
      <c r="I96" s="112"/>
    </row>
    <row r="97" spans="1:9" ht="12.75">
      <c r="A97" s="112"/>
      <c r="B97" s="112"/>
      <c r="C97" s="112"/>
      <c r="D97" s="112"/>
      <c r="E97" s="112"/>
      <c r="F97" s="112"/>
      <c r="G97" s="112"/>
      <c r="H97" s="112"/>
      <c r="I97" s="112"/>
    </row>
    <row r="98" spans="1:9" ht="12.75">
      <c r="A98" s="112"/>
      <c r="B98" s="112"/>
      <c r="C98" s="112"/>
      <c r="D98" s="112"/>
      <c r="E98" s="112"/>
      <c r="F98" s="112"/>
      <c r="G98" s="112"/>
      <c r="H98" s="112"/>
      <c r="I98" s="112"/>
    </row>
    <row r="99" spans="1:9" ht="12.75">
      <c r="A99" s="112"/>
      <c r="B99" s="112"/>
      <c r="C99" s="112"/>
      <c r="D99" s="112"/>
      <c r="E99" s="112"/>
      <c r="F99" s="112"/>
      <c r="G99" s="112"/>
      <c r="H99" s="112"/>
      <c r="I99" s="112"/>
    </row>
    <row r="100" spans="1:9" ht="12.75">
      <c r="A100" s="112"/>
      <c r="B100" s="112"/>
      <c r="C100" s="112"/>
      <c r="D100" s="112"/>
      <c r="E100" s="112"/>
      <c r="F100" s="112"/>
      <c r="G100" s="112"/>
      <c r="H100" s="112"/>
      <c r="I100" s="112"/>
    </row>
    <row r="101" spans="1:9" ht="12.75">
      <c r="A101" s="112"/>
      <c r="B101" s="112"/>
      <c r="C101" s="112"/>
      <c r="D101" s="112"/>
      <c r="E101" s="112"/>
      <c r="F101" s="112"/>
      <c r="G101" s="112"/>
      <c r="H101" s="112"/>
      <c r="I101" s="112"/>
    </row>
    <row r="102" spans="1:9" ht="12.75">
      <c r="A102" s="112"/>
      <c r="B102" s="112"/>
      <c r="C102" s="112"/>
      <c r="D102" s="112"/>
      <c r="E102" s="112"/>
      <c r="F102" s="112"/>
      <c r="G102" s="112"/>
      <c r="H102" s="112"/>
      <c r="I102" s="112"/>
    </row>
    <row r="103" spans="1:9" ht="12.75">
      <c r="A103" s="112"/>
      <c r="B103" s="112"/>
      <c r="C103" s="112"/>
      <c r="D103" s="112"/>
      <c r="E103" s="112"/>
      <c r="F103" s="112"/>
      <c r="G103" s="112"/>
      <c r="H103" s="112"/>
      <c r="I103" s="112"/>
    </row>
    <row r="104" spans="1:9" ht="12.75">
      <c r="A104" s="112"/>
      <c r="B104" s="112"/>
      <c r="C104" s="112"/>
      <c r="D104" s="112"/>
      <c r="E104" s="112"/>
      <c r="F104" s="112"/>
      <c r="G104" s="112"/>
      <c r="H104" s="112"/>
      <c r="I104" s="112"/>
    </row>
    <row r="105" spans="1:9" ht="12.75">
      <c r="A105" s="112"/>
      <c r="B105" s="112"/>
      <c r="C105" s="112"/>
      <c r="D105" s="112"/>
      <c r="E105" s="112"/>
      <c r="F105" s="112"/>
      <c r="G105" s="112"/>
      <c r="H105" s="112"/>
      <c r="I105" s="112"/>
    </row>
    <row r="106" spans="1:9" ht="12.75">
      <c r="A106" s="112"/>
      <c r="B106" s="112"/>
      <c r="C106" s="112"/>
      <c r="D106" s="112"/>
      <c r="E106" s="112"/>
      <c r="F106" s="112"/>
      <c r="G106" s="112"/>
      <c r="H106" s="112"/>
      <c r="I106" s="112"/>
    </row>
    <row r="107" spans="1:9" ht="12.75">
      <c r="A107" s="112"/>
      <c r="B107" s="112"/>
      <c r="C107" s="112"/>
      <c r="D107" s="112"/>
      <c r="E107" s="112"/>
      <c r="F107" s="112"/>
      <c r="G107" s="112"/>
      <c r="H107" s="112"/>
      <c r="I107" s="112"/>
    </row>
    <row r="108" spans="1:9" ht="12.75">
      <c r="A108" s="112"/>
      <c r="B108" s="112"/>
      <c r="C108" s="112"/>
      <c r="D108" s="112"/>
      <c r="E108" s="112"/>
      <c r="F108" s="112"/>
      <c r="G108" s="112"/>
      <c r="H108" s="112"/>
      <c r="I108" s="112"/>
    </row>
    <row r="109" spans="1:9" ht="12.75">
      <c r="A109" s="112"/>
      <c r="B109" s="112"/>
      <c r="C109" s="112"/>
      <c r="D109" s="112"/>
      <c r="E109" s="112"/>
      <c r="F109" s="112"/>
      <c r="G109" s="112"/>
      <c r="H109" s="112"/>
      <c r="I109" s="112"/>
    </row>
    <row r="110" spans="1:9" ht="12.75">
      <c r="A110" s="112"/>
      <c r="B110" s="112"/>
      <c r="C110" s="112"/>
      <c r="D110" s="112"/>
      <c r="E110" s="112"/>
      <c r="F110" s="112"/>
      <c r="G110" s="112"/>
      <c r="H110" s="112"/>
      <c r="I110" s="112"/>
    </row>
    <row r="111" spans="1:9" ht="12.75">
      <c r="A111" s="112"/>
      <c r="B111" s="112"/>
      <c r="C111" s="112"/>
      <c r="D111" s="112"/>
      <c r="E111" s="112"/>
      <c r="F111" s="112"/>
      <c r="G111" s="112"/>
      <c r="H111" s="112"/>
      <c r="I111" s="112"/>
    </row>
    <row r="112" spans="1:9" ht="12.75">
      <c r="A112" s="112"/>
      <c r="B112" s="112"/>
      <c r="C112" s="112"/>
      <c r="D112" s="112"/>
      <c r="E112" s="112"/>
      <c r="F112" s="112"/>
      <c r="G112" s="112"/>
      <c r="H112" s="112"/>
      <c r="I112" s="112"/>
    </row>
    <row r="113" spans="1:9" ht="12.75">
      <c r="A113" s="112"/>
      <c r="B113" s="112"/>
      <c r="C113" s="112"/>
      <c r="D113" s="112"/>
      <c r="E113" s="112"/>
      <c r="F113" s="112"/>
      <c r="G113" s="112"/>
      <c r="H113" s="112"/>
      <c r="I113" s="112"/>
    </row>
    <row r="114" spans="1:9" ht="12.75">
      <c r="A114" s="112"/>
      <c r="B114" s="112"/>
      <c r="C114" s="112"/>
      <c r="D114" s="112"/>
      <c r="E114" s="112"/>
      <c r="F114" s="112"/>
      <c r="G114" s="112"/>
      <c r="H114" s="112"/>
      <c r="I114" s="112"/>
    </row>
    <row r="115" spans="1:9" ht="12.75">
      <c r="A115" s="112"/>
      <c r="B115" s="112"/>
      <c r="C115" s="112"/>
      <c r="D115" s="112"/>
      <c r="E115" s="112"/>
      <c r="F115" s="112"/>
      <c r="G115" s="112"/>
      <c r="H115" s="112"/>
      <c r="I115" s="112"/>
    </row>
    <row r="116" spans="1:9" ht="12.75">
      <c r="A116" s="112"/>
      <c r="B116" s="112"/>
      <c r="C116" s="112"/>
      <c r="D116" s="112"/>
      <c r="E116" s="112"/>
      <c r="F116" s="112"/>
      <c r="G116" s="112"/>
      <c r="H116" s="112"/>
      <c r="I116" s="112"/>
    </row>
    <row r="117" spans="1:9" ht="12.75">
      <c r="A117" s="112"/>
      <c r="B117" s="112"/>
      <c r="C117" s="112"/>
      <c r="D117" s="112"/>
      <c r="E117" s="112"/>
      <c r="F117" s="112"/>
      <c r="G117" s="112"/>
      <c r="H117" s="112"/>
      <c r="I117" s="112"/>
    </row>
    <row r="118" spans="1:9" ht="12.75">
      <c r="A118" s="112"/>
      <c r="B118" s="112"/>
      <c r="C118" s="112"/>
      <c r="D118" s="112"/>
      <c r="E118" s="112"/>
      <c r="F118" s="112"/>
      <c r="G118" s="112"/>
      <c r="H118" s="112"/>
      <c r="I118" s="112"/>
    </row>
    <row r="119" spans="1:9" ht="12.75">
      <c r="A119" s="112"/>
      <c r="B119" s="112"/>
      <c r="C119" s="112"/>
      <c r="D119" s="112"/>
      <c r="E119" s="112"/>
      <c r="F119" s="112"/>
      <c r="G119" s="112"/>
      <c r="H119" s="112"/>
      <c r="I119" s="112"/>
    </row>
    <row r="120" spans="1:9" ht="12.75">
      <c r="A120" s="112"/>
      <c r="B120" s="112"/>
      <c r="C120" s="112"/>
      <c r="D120" s="112"/>
      <c r="E120" s="112"/>
      <c r="F120" s="112"/>
      <c r="G120" s="112"/>
      <c r="H120" s="112"/>
      <c r="I120" s="112"/>
    </row>
    <row r="121" spans="1:9" ht="12.75">
      <c r="A121" s="112"/>
      <c r="B121" s="112"/>
      <c r="C121" s="112"/>
      <c r="D121" s="112"/>
      <c r="E121" s="112"/>
      <c r="F121" s="112"/>
      <c r="G121" s="112"/>
      <c r="H121" s="112"/>
      <c r="I121" s="112"/>
    </row>
    <row r="122" spans="1:9" ht="12.75">
      <c r="A122" s="112"/>
      <c r="B122" s="112"/>
      <c r="C122" s="112"/>
      <c r="D122" s="112"/>
      <c r="E122" s="112"/>
      <c r="F122" s="112"/>
      <c r="G122" s="112"/>
      <c r="H122" s="112"/>
      <c r="I122" s="112"/>
    </row>
    <row r="123" spans="1:9" ht="12.75">
      <c r="A123" s="112"/>
      <c r="B123" s="112"/>
      <c r="C123" s="112"/>
      <c r="D123" s="112"/>
      <c r="E123" s="112"/>
      <c r="F123" s="112"/>
      <c r="G123" s="112"/>
      <c r="H123" s="112"/>
      <c r="I123" s="112"/>
    </row>
    <row r="124" spans="1:9" ht="12.75">
      <c r="A124" s="112"/>
      <c r="B124" s="112"/>
      <c r="C124" s="112"/>
      <c r="D124" s="112"/>
      <c r="E124" s="112"/>
      <c r="F124" s="112"/>
      <c r="G124" s="112"/>
      <c r="H124" s="112"/>
      <c r="I124" s="112"/>
    </row>
    <row r="125" spans="1:9" ht="12.75">
      <c r="A125" s="112"/>
      <c r="B125" s="112"/>
      <c r="C125" s="112"/>
      <c r="D125" s="112"/>
      <c r="E125" s="112"/>
      <c r="F125" s="112"/>
      <c r="G125" s="112"/>
      <c r="H125" s="112"/>
      <c r="I125" s="112"/>
    </row>
    <row r="126" spans="1:9" ht="12.75">
      <c r="A126" s="112"/>
      <c r="B126" s="112"/>
      <c r="C126" s="112"/>
      <c r="D126" s="112"/>
      <c r="E126" s="112"/>
      <c r="F126" s="112"/>
      <c r="G126" s="112"/>
      <c r="H126" s="112"/>
      <c r="I126" s="112"/>
    </row>
    <row r="127" spans="1:9" ht="12.75">
      <c r="A127" s="112"/>
      <c r="B127" s="112"/>
      <c r="C127" s="112"/>
      <c r="D127" s="112"/>
      <c r="E127" s="112"/>
      <c r="F127" s="112"/>
      <c r="G127" s="112"/>
      <c r="H127" s="112"/>
      <c r="I127" s="112"/>
    </row>
    <row r="128" spans="1:9" ht="12.75">
      <c r="A128" s="112"/>
      <c r="B128" s="112"/>
      <c r="C128" s="112"/>
      <c r="D128" s="112"/>
      <c r="E128" s="112"/>
      <c r="F128" s="112"/>
      <c r="G128" s="112"/>
      <c r="H128" s="112"/>
      <c r="I128" s="112"/>
    </row>
    <row r="129" spans="1:9" ht="12.75">
      <c r="A129" s="112"/>
      <c r="B129" s="112"/>
      <c r="C129" s="112"/>
      <c r="D129" s="112"/>
      <c r="E129" s="112"/>
      <c r="F129" s="112"/>
      <c r="G129" s="112"/>
      <c r="H129" s="112"/>
      <c r="I129" s="112"/>
    </row>
    <row r="130" spans="1:9" ht="12.75">
      <c r="A130" s="112"/>
      <c r="B130" s="112"/>
      <c r="C130" s="112"/>
      <c r="D130" s="112"/>
      <c r="E130" s="112"/>
      <c r="F130" s="112"/>
      <c r="G130" s="112"/>
      <c r="H130" s="112"/>
      <c r="I130" s="112"/>
    </row>
    <row r="131" spans="1:9" ht="12.75">
      <c r="A131" s="112"/>
      <c r="B131" s="112"/>
      <c r="C131" s="112"/>
      <c r="D131" s="112"/>
      <c r="E131" s="112"/>
      <c r="F131" s="112"/>
      <c r="G131" s="112"/>
      <c r="H131" s="112"/>
      <c r="I131" s="112"/>
    </row>
    <row r="132" spans="1:9" ht="12.75">
      <c r="A132" s="112"/>
      <c r="B132" s="112"/>
      <c r="C132" s="112"/>
      <c r="D132" s="112"/>
      <c r="E132" s="112"/>
      <c r="F132" s="112"/>
      <c r="G132" s="112"/>
      <c r="H132" s="112"/>
      <c r="I132" s="112"/>
    </row>
    <row r="133" spans="1:9" ht="12.75">
      <c r="A133" s="112"/>
      <c r="B133" s="112"/>
      <c r="C133" s="112"/>
      <c r="D133" s="112"/>
      <c r="E133" s="112"/>
      <c r="F133" s="112"/>
      <c r="G133" s="112"/>
      <c r="H133" s="112"/>
      <c r="I133" s="112"/>
    </row>
    <row r="134" spans="1:9" ht="12.75">
      <c r="A134" s="112"/>
      <c r="B134" s="112"/>
      <c r="C134" s="112"/>
      <c r="D134" s="112"/>
      <c r="E134" s="112"/>
      <c r="F134" s="112"/>
      <c r="G134" s="112"/>
      <c r="H134" s="112"/>
      <c r="I134" s="112"/>
    </row>
    <row r="135" spans="1:9" ht="12.75">
      <c r="A135" s="112"/>
      <c r="B135" s="112"/>
      <c r="C135" s="112"/>
      <c r="D135" s="112"/>
      <c r="E135" s="112"/>
      <c r="F135" s="112"/>
      <c r="G135" s="112"/>
      <c r="H135" s="112"/>
      <c r="I135" s="112"/>
    </row>
    <row r="136" spans="1:9" ht="12.75">
      <c r="A136" s="112"/>
      <c r="B136" s="112"/>
      <c r="C136" s="112"/>
      <c r="D136" s="112"/>
      <c r="E136" s="112"/>
      <c r="F136" s="112"/>
      <c r="G136" s="112"/>
      <c r="H136" s="112"/>
      <c r="I136" s="112"/>
    </row>
    <row r="137" spans="1:9" ht="12.75">
      <c r="A137" s="112"/>
      <c r="B137" s="112"/>
      <c r="C137" s="112"/>
      <c r="D137" s="112"/>
      <c r="E137" s="112"/>
      <c r="F137" s="112"/>
      <c r="G137" s="112"/>
      <c r="H137" s="112"/>
      <c r="I137" s="112"/>
    </row>
    <row r="138" spans="1:9" ht="12.75">
      <c r="A138" s="112"/>
      <c r="B138" s="112"/>
      <c r="C138" s="112"/>
      <c r="D138" s="112"/>
      <c r="E138" s="112"/>
      <c r="F138" s="112"/>
      <c r="G138" s="112"/>
      <c r="H138" s="112"/>
      <c r="I138" s="112"/>
    </row>
    <row r="139" spans="1:9" ht="12.75">
      <c r="A139" s="112"/>
      <c r="B139" s="112"/>
      <c r="C139" s="112"/>
      <c r="D139" s="112"/>
      <c r="E139" s="112"/>
      <c r="F139" s="112"/>
      <c r="G139" s="112"/>
      <c r="H139" s="112"/>
      <c r="I139" s="112"/>
    </row>
    <row r="140" spans="1:9" ht="12.75">
      <c r="A140" s="112"/>
      <c r="B140" s="112"/>
      <c r="C140" s="112"/>
      <c r="D140" s="112"/>
      <c r="E140" s="112"/>
      <c r="F140" s="112"/>
      <c r="G140" s="112"/>
      <c r="H140" s="112"/>
      <c r="I140" s="112"/>
    </row>
    <row r="141" spans="1:9" ht="12.75">
      <c r="A141" s="112"/>
      <c r="B141" s="112"/>
      <c r="C141" s="112"/>
      <c r="D141" s="112"/>
      <c r="E141" s="112"/>
      <c r="F141" s="112"/>
      <c r="G141" s="112"/>
      <c r="H141" s="112"/>
      <c r="I141" s="112"/>
    </row>
    <row r="142" spans="1:9" ht="12.75">
      <c r="A142" s="112"/>
      <c r="B142" s="112"/>
      <c r="C142" s="112"/>
      <c r="D142" s="112"/>
      <c r="E142" s="112"/>
      <c r="F142" s="112"/>
      <c r="G142" s="112"/>
      <c r="H142" s="112"/>
      <c r="I142" s="112"/>
    </row>
    <row r="143" spans="1:9" ht="12.75">
      <c r="A143" s="112"/>
      <c r="B143" s="112"/>
      <c r="C143" s="112"/>
      <c r="D143" s="112"/>
      <c r="E143" s="112"/>
      <c r="F143" s="112"/>
      <c r="G143" s="112"/>
      <c r="H143" s="112"/>
      <c r="I143" s="112"/>
    </row>
    <row r="144" spans="1:9" ht="12.75">
      <c r="A144" s="112"/>
      <c r="B144" s="112"/>
      <c r="C144" s="112"/>
      <c r="D144" s="112"/>
      <c r="E144" s="112"/>
      <c r="F144" s="112"/>
      <c r="G144" s="112"/>
      <c r="H144" s="112"/>
      <c r="I144" s="112"/>
    </row>
    <row r="145" spans="1:9" ht="12.75">
      <c r="A145" s="112"/>
      <c r="B145" s="112"/>
      <c r="C145" s="112"/>
      <c r="D145" s="112"/>
      <c r="E145" s="112"/>
      <c r="F145" s="112"/>
      <c r="G145" s="112"/>
      <c r="H145" s="112"/>
      <c r="I145" s="112"/>
    </row>
    <row r="146" spans="1:9" ht="12.75">
      <c r="A146" s="112"/>
      <c r="B146" s="112"/>
      <c r="C146" s="112"/>
      <c r="D146" s="112"/>
      <c r="E146" s="112"/>
      <c r="F146" s="112"/>
      <c r="G146" s="112"/>
      <c r="H146" s="112"/>
      <c r="I146" s="112"/>
    </row>
    <row r="147" spans="1:9" ht="12.75">
      <c r="A147" s="112"/>
      <c r="B147" s="112"/>
      <c r="C147" s="112"/>
      <c r="D147" s="112"/>
      <c r="E147" s="112"/>
      <c r="F147" s="112"/>
      <c r="G147" s="112"/>
      <c r="H147" s="112"/>
      <c r="I147" s="112"/>
    </row>
    <row r="148" spans="1:9" ht="12.75">
      <c r="A148" s="112"/>
      <c r="B148" s="112"/>
      <c r="C148" s="112"/>
      <c r="D148" s="112"/>
      <c r="E148" s="112"/>
      <c r="F148" s="112"/>
      <c r="G148" s="112"/>
      <c r="H148" s="112"/>
      <c r="I148" s="112"/>
    </row>
    <row r="149" spans="1:9" ht="12.75">
      <c r="A149" s="112"/>
      <c r="B149" s="112"/>
      <c r="C149" s="112"/>
      <c r="D149" s="112"/>
      <c r="E149" s="112"/>
      <c r="F149" s="112"/>
      <c r="G149" s="112"/>
      <c r="H149" s="112"/>
      <c r="I149" s="112"/>
    </row>
    <row r="150" spans="1:9" ht="12.75">
      <c r="A150" s="112"/>
      <c r="B150" s="112"/>
      <c r="C150" s="112"/>
      <c r="D150" s="112"/>
      <c r="E150" s="112"/>
      <c r="F150" s="112"/>
      <c r="G150" s="112"/>
      <c r="H150" s="112"/>
      <c r="I150" s="112"/>
    </row>
    <row r="151" spans="1:9" ht="12.75">
      <c r="A151" s="112"/>
      <c r="B151" s="112"/>
      <c r="C151" s="112"/>
      <c r="D151" s="112"/>
      <c r="E151" s="112"/>
      <c r="F151" s="112"/>
      <c r="G151" s="112"/>
      <c r="H151" s="112"/>
      <c r="I151" s="112"/>
    </row>
    <row r="152" spans="1:9" ht="12.75">
      <c r="A152" s="112"/>
      <c r="B152" s="112"/>
      <c r="C152" s="112"/>
      <c r="D152" s="112"/>
      <c r="E152" s="112"/>
      <c r="F152" s="112"/>
      <c r="G152" s="112"/>
      <c r="H152" s="112"/>
      <c r="I152" s="112"/>
    </row>
    <row r="153" spans="1:9" ht="12.75">
      <c r="A153" s="112"/>
      <c r="B153" s="112"/>
      <c r="C153" s="112"/>
      <c r="D153" s="112"/>
      <c r="E153" s="112"/>
      <c r="F153" s="112"/>
      <c r="G153" s="112"/>
      <c r="H153" s="112"/>
      <c r="I153" s="112"/>
    </row>
    <row r="154" spans="1:9" ht="12.75">
      <c r="A154" s="112"/>
      <c r="B154" s="112"/>
      <c r="C154" s="112"/>
      <c r="D154" s="112"/>
      <c r="E154" s="112"/>
      <c r="F154" s="112"/>
      <c r="G154" s="112"/>
      <c r="H154" s="112"/>
      <c r="I154" s="112"/>
    </row>
    <row r="155" spans="1:9" ht="12.75">
      <c r="A155" s="112"/>
      <c r="B155" s="112"/>
      <c r="C155" s="112"/>
      <c r="D155" s="112"/>
      <c r="E155" s="112"/>
      <c r="F155" s="112"/>
      <c r="G155" s="112"/>
      <c r="H155" s="112"/>
      <c r="I155" s="112"/>
    </row>
    <row r="156" spans="1:9" ht="12.75">
      <c r="A156" s="112"/>
      <c r="B156" s="112"/>
      <c r="C156" s="112"/>
      <c r="D156" s="112"/>
      <c r="E156" s="112"/>
      <c r="F156" s="112"/>
      <c r="G156" s="112"/>
      <c r="H156" s="112"/>
      <c r="I156" s="112"/>
    </row>
    <row r="157" spans="1:9" ht="12.75">
      <c r="A157" s="112"/>
      <c r="B157" s="112"/>
      <c r="C157" s="112"/>
      <c r="D157" s="112"/>
      <c r="E157" s="112"/>
      <c r="F157" s="112"/>
      <c r="G157" s="112"/>
      <c r="H157" s="112"/>
      <c r="I157" s="112"/>
    </row>
    <row r="158" spans="1:9" ht="12.75">
      <c r="A158" s="112"/>
      <c r="B158" s="112"/>
      <c r="C158" s="112"/>
      <c r="D158" s="112"/>
      <c r="E158" s="112"/>
      <c r="F158" s="112"/>
      <c r="G158" s="112"/>
      <c r="H158" s="112"/>
      <c r="I158" s="112"/>
    </row>
    <row r="159" spans="1:9" ht="12.75">
      <c r="A159" s="112"/>
      <c r="B159" s="112"/>
      <c r="C159" s="112"/>
      <c r="D159" s="112"/>
      <c r="E159" s="112"/>
      <c r="F159" s="112"/>
      <c r="G159" s="112"/>
      <c r="H159" s="112"/>
      <c r="I159" s="112"/>
    </row>
    <row r="160" spans="1:9" ht="12.75">
      <c r="A160" s="112"/>
      <c r="B160" s="112"/>
      <c r="C160" s="112"/>
      <c r="D160" s="112"/>
      <c r="E160" s="112"/>
      <c r="F160" s="112"/>
      <c r="G160" s="112"/>
      <c r="H160" s="112"/>
      <c r="I160" s="112"/>
    </row>
    <row r="161" spans="1:9" ht="12.75">
      <c r="A161" s="112"/>
      <c r="B161" s="112"/>
      <c r="C161" s="112"/>
      <c r="D161" s="112"/>
      <c r="E161" s="112"/>
      <c r="F161" s="112"/>
      <c r="G161" s="112"/>
      <c r="H161" s="112"/>
      <c r="I161" s="112"/>
    </row>
    <row r="162" spans="1:9" ht="12.75">
      <c r="A162" s="112"/>
      <c r="B162" s="112"/>
      <c r="C162" s="112"/>
      <c r="D162" s="112"/>
      <c r="E162" s="112"/>
      <c r="F162" s="112"/>
      <c r="G162" s="112"/>
      <c r="H162" s="112"/>
      <c r="I162" s="112"/>
    </row>
    <row r="163" spans="1:9" ht="12.75">
      <c r="A163" s="112"/>
      <c r="B163" s="112"/>
      <c r="C163" s="112"/>
      <c r="D163" s="112"/>
      <c r="E163" s="112"/>
      <c r="F163" s="112"/>
      <c r="G163" s="112"/>
      <c r="H163" s="112"/>
      <c r="I163" s="112"/>
    </row>
    <row r="164" spans="1:9" ht="12.75">
      <c r="A164" s="112"/>
      <c r="B164" s="112"/>
      <c r="C164" s="112"/>
      <c r="D164" s="112"/>
      <c r="E164" s="112"/>
      <c r="F164" s="112"/>
      <c r="G164" s="112"/>
      <c r="H164" s="112"/>
      <c r="I164" s="112"/>
    </row>
    <row r="165" spans="1:9" ht="12.75">
      <c r="A165" s="112"/>
      <c r="B165" s="112"/>
      <c r="C165" s="112"/>
      <c r="D165" s="112"/>
      <c r="E165" s="112"/>
      <c r="F165" s="112"/>
      <c r="G165" s="112"/>
      <c r="H165" s="112"/>
      <c r="I165" s="112"/>
    </row>
    <row r="166" spans="1:9" ht="12.75">
      <c r="A166" s="112"/>
      <c r="B166" s="112"/>
      <c r="C166" s="112"/>
      <c r="D166" s="112"/>
      <c r="E166" s="112"/>
      <c r="F166" s="112"/>
      <c r="G166" s="112"/>
      <c r="H166" s="112"/>
      <c r="I166" s="112"/>
    </row>
    <row r="167" spans="1:9" ht="12.75">
      <c r="A167" s="112"/>
      <c r="B167" s="112"/>
      <c r="C167" s="112"/>
      <c r="D167" s="112"/>
      <c r="E167" s="112"/>
      <c r="F167" s="112"/>
      <c r="G167" s="112"/>
      <c r="H167" s="112"/>
      <c r="I167" s="112"/>
    </row>
    <row r="168" spans="1:9" ht="12.75">
      <c r="A168" s="112"/>
      <c r="B168" s="112"/>
      <c r="C168" s="112"/>
      <c r="D168" s="112"/>
      <c r="E168" s="112"/>
      <c r="F168" s="112"/>
      <c r="G168" s="112"/>
      <c r="H168" s="112"/>
      <c r="I168" s="112"/>
    </row>
    <row r="169" spans="1:9" ht="12.75">
      <c r="A169" s="112"/>
      <c r="B169" s="112"/>
      <c r="C169" s="112"/>
      <c r="D169" s="112"/>
      <c r="E169" s="112"/>
      <c r="F169" s="112"/>
      <c r="G169" s="112"/>
      <c r="H169" s="112"/>
      <c r="I169" s="112"/>
    </row>
    <row r="170" spans="1:9" ht="12.75">
      <c r="A170" s="112"/>
      <c r="B170" s="112"/>
      <c r="C170" s="112"/>
      <c r="D170" s="112"/>
      <c r="E170" s="112"/>
      <c r="F170" s="112"/>
      <c r="G170" s="112"/>
      <c r="H170" s="112"/>
      <c r="I170" s="112"/>
    </row>
    <row r="171" spans="1:9" ht="12.75">
      <c r="A171" s="112"/>
      <c r="B171" s="112"/>
      <c r="C171" s="112"/>
      <c r="D171" s="112"/>
      <c r="E171" s="112"/>
      <c r="F171" s="112"/>
      <c r="G171" s="112"/>
      <c r="H171" s="112"/>
      <c r="I171" s="112"/>
    </row>
    <row r="172" spans="1:9" ht="12.75">
      <c r="A172" s="112"/>
      <c r="B172" s="112"/>
      <c r="C172" s="112"/>
      <c r="D172" s="112"/>
      <c r="E172" s="112"/>
      <c r="F172" s="112"/>
      <c r="G172" s="112"/>
      <c r="H172" s="112"/>
      <c r="I172" s="112"/>
    </row>
    <row r="173" spans="1:9" ht="12.75">
      <c r="A173" s="112"/>
      <c r="B173" s="112"/>
      <c r="C173" s="112"/>
      <c r="D173" s="112"/>
      <c r="E173" s="112"/>
      <c r="F173" s="112"/>
      <c r="G173" s="112"/>
      <c r="H173" s="112"/>
      <c r="I173" s="112"/>
    </row>
    <row r="174" spans="1:9" ht="12.75">
      <c r="A174" s="112"/>
      <c r="B174" s="112"/>
      <c r="C174" s="112"/>
      <c r="D174" s="112"/>
      <c r="E174" s="112"/>
      <c r="F174" s="112"/>
      <c r="G174" s="112"/>
      <c r="H174" s="112"/>
      <c r="I174" s="112"/>
    </row>
    <row r="175" spans="1:9" ht="12.75">
      <c r="A175" s="112"/>
      <c r="B175" s="112"/>
      <c r="C175" s="112"/>
      <c r="D175" s="112"/>
      <c r="E175" s="112"/>
      <c r="F175" s="112"/>
      <c r="G175" s="112"/>
      <c r="H175" s="112"/>
      <c r="I175" s="112"/>
    </row>
    <row r="176" spans="1:9" ht="12.75">
      <c r="A176" s="112"/>
      <c r="B176" s="112"/>
      <c r="C176" s="112"/>
      <c r="D176" s="112"/>
      <c r="E176" s="112"/>
      <c r="F176" s="112"/>
      <c r="G176" s="112"/>
      <c r="H176" s="112"/>
      <c r="I176" s="112"/>
    </row>
    <row r="177" spans="1:9" ht="12.75">
      <c r="A177" s="112"/>
      <c r="B177" s="112"/>
      <c r="C177" s="112"/>
      <c r="D177" s="112"/>
      <c r="E177" s="112"/>
      <c r="F177" s="112"/>
      <c r="G177" s="112"/>
      <c r="H177" s="112"/>
      <c r="I177" s="112"/>
    </row>
    <row r="178" spans="1:9" ht="12.75">
      <c r="A178" s="112"/>
      <c r="B178" s="112"/>
      <c r="C178" s="112"/>
      <c r="D178" s="112"/>
      <c r="E178" s="112"/>
      <c r="F178" s="112"/>
      <c r="G178" s="112"/>
      <c r="H178" s="112"/>
      <c r="I178" s="112"/>
    </row>
    <row r="179" spans="1:9" ht="12.75">
      <c r="A179" s="112"/>
      <c r="B179" s="112"/>
      <c r="C179" s="112"/>
      <c r="D179" s="112"/>
      <c r="E179" s="112"/>
      <c r="F179" s="112"/>
      <c r="G179" s="112"/>
      <c r="H179" s="112"/>
      <c r="I179" s="112"/>
    </row>
    <row r="180" spans="1:9" ht="12.75">
      <c r="A180" s="112"/>
      <c r="B180" s="112"/>
      <c r="C180" s="112"/>
      <c r="D180" s="112"/>
      <c r="E180" s="112"/>
      <c r="F180" s="112"/>
      <c r="G180" s="112"/>
      <c r="H180" s="112"/>
      <c r="I180" s="112"/>
    </row>
  </sheetData>
  <sheetProtection password="C74E" sheet="1" objects="1" scenarios="1"/>
  <mergeCells count="35">
    <mergeCell ref="A17:G17"/>
    <mergeCell ref="A15:G15"/>
    <mergeCell ref="A16:G16"/>
    <mergeCell ref="A11:G11"/>
    <mergeCell ref="A12:G12"/>
    <mergeCell ref="A13:G13"/>
    <mergeCell ref="A14:G14"/>
    <mergeCell ref="A22:G22"/>
    <mergeCell ref="A26:G26"/>
    <mergeCell ref="A23:G23"/>
    <mergeCell ref="A24:G24"/>
    <mergeCell ref="A25:G25"/>
    <mergeCell ref="A18:G18"/>
    <mergeCell ref="A19:G19"/>
    <mergeCell ref="A20:G20"/>
    <mergeCell ref="A21:G21"/>
    <mergeCell ref="A45:G45"/>
    <mergeCell ref="A35:G35"/>
    <mergeCell ref="A36:G36"/>
    <mergeCell ref="A37:G37"/>
    <mergeCell ref="A38:G38"/>
    <mergeCell ref="A39:G39"/>
    <mergeCell ref="A41:G41"/>
    <mergeCell ref="A42:G42"/>
    <mergeCell ref="A40:G40"/>
    <mergeCell ref="A43:G43"/>
    <mergeCell ref="A44:G44"/>
    <mergeCell ref="A27:G27"/>
    <mergeCell ref="A33:G33"/>
    <mergeCell ref="A34:G34"/>
    <mergeCell ref="A28:G28"/>
    <mergeCell ref="A29:G29"/>
    <mergeCell ref="A30:G30"/>
    <mergeCell ref="A31:G31"/>
    <mergeCell ref="A32:G32"/>
  </mergeCells>
  <printOptions/>
  <pageMargins left="0.9798611111111111" right="0.24027777777777778" top="0.4597222222222222" bottom="0.75" header="0.5118055555555555" footer="0.511805555555555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I54"/>
  <sheetViews>
    <sheetView showGridLines="0" showZeros="0" zoomScalePageLayoutView="0" workbookViewId="0" topLeftCell="A1">
      <selection activeCell="AK27" sqref="AK27"/>
    </sheetView>
  </sheetViews>
  <sheetFormatPr defaultColWidth="9.140625" defaultRowHeight="12.75"/>
  <cols>
    <col min="1" max="1" width="12.28125" style="0" customWidth="1"/>
    <col min="3" max="3" width="6.28125" style="0" customWidth="1"/>
    <col min="4" max="4" width="8.57421875" style="0" customWidth="1"/>
    <col min="5" max="5" width="9.8515625" style="0" customWidth="1"/>
    <col min="6" max="6" width="10.28125" style="0" customWidth="1"/>
    <col min="8" max="8" width="8.57421875" style="0" customWidth="1"/>
    <col min="9" max="9" width="12.7109375" style="0" customWidth="1"/>
  </cols>
  <sheetData>
    <row r="2" spans="3:5" ht="23.25">
      <c r="C2" s="404" t="s">
        <v>320</v>
      </c>
      <c r="E2" s="404"/>
    </row>
    <row r="3" spans="3:9" ht="23.25">
      <c r="C3" s="404"/>
      <c r="E3" s="404"/>
      <c r="I3" s="427">
        <f>'Kalkyl-Boende'!H6</f>
        <v>45020</v>
      </c>
    </row>
    <row r="4" ht="23.25">
      <c r="E4" s="404"/>
    </row>
    <row r="5" spans="1:9" ht="12.75">
      <c r="A5" s="405" t="str">
        <f>'Kalkyl-Total'!D3</f>
        <v>Köpare</v>
      </c>
      <c r="B5" s="406"/>
      <c r="C5" s="406"/>
      <c r="D5" s="406"/>
      <c r="E5" s="201"/>
      <c r="F5" s="406" t="s">
        <v>249</v>
      </c>
      <c r="G5" s="406"/>
      <c r="H5" s="406"/>
      <c r="I5" s="201"/>
    </row>
    <row r="6" spans="1:9" ht="12.75">
      <c r="A6" s="407">
        <f>'Kalkyl-Total'!D4</f>
        <v>0</v>
      </c>
      <c r="B6" s="98"/>
      <c r="C6" s="98"/>
      <c r="D6" s="98"/>
      <c r="E6" s="408"/>
      <c r="F6" s="98" t="str">
        <f>'Kalkyl-Total'!G4</f>
        <v>Månsabovägen 19</v>
      </c>
      <c r="G6" s="98"/>
      <c r="H6" s="98"/>
      <c r="I6" s="408"/>
    </row>
    <row r="7" spans="1:9" ht="12.75">
      <c r="A7" s="407">
        <f>'Kalkyl-Total'!D5</f>
        <v>0</v>
      </c>
      <c r="B7" s="98"/>
      <c r="C7" s="98"/>
      <c r="D7" s="98"/>
      <c r="E7" s="408"/>
      <c r="F7" s="409" t="str">
        <f>'Kalkyl-Boende'!D16</f>
        <v>Vaggeryd</v>
      </c>
      <c r="G7" s="187"/>
      <c r="H7" s="187"/>
      <c r="I7" s="191"/>
    </row>
    <row r="8" spans="1:9" ht="12.75">
      <c r="A8" s="405" t="str">
        <f>'Kalkyl-Total'!A3</f>
        <v>Upprättad av</v>
      </c>
      <c r="B8" s="406"/>
      <c r="C8" s="406"/>
      <c r="D8" s="406"/>
      <c r="E8" s="201"/>
      <c r="F8" s="406" t="s">
        <v>9</v>
      </c>
      <c r="G8" s="406"/>
      <c r="H8" s="406"/>
      <c r="I8" s="201"/>
    </row>
    <row r="9" spans="1:9" ht="12.75">
      <c r="A9" s="198" t="str">
        <f>'Kalkyl-Total'!A4</f>
        <v>Erica Bernardin           </v>
      </c>
      <c r="B9" s="187"/>
      <c r="C9" s="187"/>
      <c r="D9" s="187"/>
      <c r="E9" s="191"/>
      <c r="F9" s="410" t="str">
        <f>'Kalkyl-Boende'!F16</f>
        <v>Villa Fredriksdal</v>
      </c>
      <c r="G9" s="187"/>
      <c r="H9" s="187"/>
      <c r="I9" s="191"/>
    </row>
    <row r="10" spans="1:9" ht="12.75">
      <c r="A10" s="405" t="s">
        <v>12</v>
      </c>
      <c r="B10" s="406"/>
      <c r="C10" s="406"/>
      <c r="D10" s="406"/>
      <c r="E10" s="406"/>
      <c r="F10" s="98"/>
      <c r="G10" s="98"/>
      <c r="H10" s="98"/>
      <c r="I10" s="98"/>
    </row>
    <row r="11" spans="1:9" ht="12.75">
      <c r="A11" s="411" t="s">
        <v>12</v>
      </c>
      <c r="B11" s="98"/>
      <c r="C11" s="98"/>
      <c r="D11" s="98"/>
      <c r="E11" s="98"/>
      <c r="F11" s="98"/>
      <c r="G11" s="98"/>
      <c r="H11" s="98"/>
      <c r="I11" s="98"/>
    </row>
    <row r="13" ht="18">
      <c r="A13" s="412" t="s">
        <v>250</v>
      </c>
    </row>
    <row r="14" ht="18">
      <c r="A14" s="412" t="s">
        <v>251</v>
      </c>
    </row>
    <row r="15" ht="18">
      <c r="A15" s="412"/>
    </row>
    <row r="17" spans="1:9" ht="12.75">
      <c r="A17" t="s">
        <v>252</v>
      </c>
      <c r="D17" t="s">
        <v>253</v>
      </c>
      <c r="E17" s="413">
        <v>0</v>
      </c>
      <c r="F17" t="s">
        <v>254</v>
      </c>
      <c r="G17" s="414">
        <v>0</v>
      </c>
      <c r="H17" t="s">
        <v>255</v>
      </c>
      <c r="I17" s="415">
        <f>E17*G17</f>
        <v>0</v>
      </c>
    </row>
    <row r="19" spans="1:9" ht="12.75">
      <c r="A19" t="s">
        <v>256</v>
      </c>
      <c r="D19" t="s">
        <v>257</v>
      </c>
      <c r="E19" s="413">
        <v>0</v>
      </c>
      <c r="F19" t="s">
        <v>258</v>
      </c>
      <c r="G19" s="414">
        <v>0</v>
      </c>
      <c r="H19" t="s">
        <v>255</v>
      </c>
      <c r="I19" s="416">
        <f>E19*G19</f>
        <v>0</v>
      </c>
    </row>
    <row r="20" spans="1:9" ht="12.75">
      <c r="A20" t="s">
        <v>259</v>
      </c>
      <c r="E20" s="413">
        <v>0</v>
      </c>
      <c r="F20" t="s">
        <v>258</v>
      </c>
      <c r="G20" s="414">
        <v>0</v>
      </c>
      <c r="I20" s="416">
        <f>E20*G20</f>
        <v>0</v>
      </c>
    </row>
    <row r="21" spans="5:9" ht="12.75">
      <c r="E21" s="411"/>
      <c r="G21" s="417"/>
      <c r="I21" s="418"/>
    </row>
    <row r="22" spans="1:9" ht="12.75">
      <c r="A22" t="s">
        <v>260</v>
      </c>
      <c r="E22" s="411"/>
      <c r="G22" s="417"/>
      <c r="I22" s="419"/>
    </row>
    <row r="24" spans="1:9" ht="12.75">
      <c r="A24" t="s">
        <v>261</v>
      </c>
      <c r="I24" s="419">
        <v>0</v>
      </c>
    </row>
    <row r="26" spans="1:9" ht="12.75">
      <c r="A26" t="s">
        <v>262</v>
      </c>
      <c r="I26" s="419">
        <v>0</v>
      </c>
    </row>
    <row r="28" spans="1:9" ht="12.75">
      <c r="A28" t="s">
        <v>263</v>
      </c>
      <c r="I28" s="419">
        <v>0</v>
      </c>
    </row>
    <row r="30" spans="1:9" ht="12.75">
      <c r="A30" t="s">
        <v>264</v>
      </c>
      <c r="I30" s="416">
        <f>SUM(I17:I29)</f>
        <v>0</v>
      </c>
    </row>
    <row r="32" spans="1:9" ht="15.75">
      <c r="A32" s="420" t="s">
        <v>265</v>
      </c>
      <c r="I32" s="421">
        <f>TRUNC(I30+50,-2)</f>
        <v>0</v>
      </c>
    </row>
    <row r="34" spans="1:9" ht="15.75">
      <c r="A34" s="420" t="s">
        <v>266</v>
      </c>
      <c r="I34" s="422">
        <v>0</v>
      </c>
    </row>
    <row r="36" spans="1:4" ht="12.75">
      <c r="A36" s="192"/>
      <c r="B36" s="98"/>
      <c r="C36" s="98"/>
      <c r="D36" s="98"/>
    </row>
    <row r="37" spans="1:4" ht="12.75">
      <c r="A37" s="168" t="s">
        <v>267</v>
      </c>
      <c r="B37" s="98"/>
      <c r="C37" s="98"/>
      <c r="D37" s="98"/>
    </row>
    <row r="38" spans="1:4" ht="12.75">
      <c r="A38" s="423"/>
      <c r="B38" s="98"/>
      <c r="C38" s="98"/>
      <c r="D38" s="98"/>
    </row>
    <row r="39" spans="1:4" ht="12.75">
      <c r="A39" s="423"/>
      <c r="B39" s="98"/>
      <c r="C39" s="98"/>
      <c r="D39" s="98"/>
    </row>
    <row r="40" spans="1:4" ht="12.75">
      <c r="A40" s="423"/>
      <c r="B40" s="98"/>
      <c r="C40" s="98"/>
      <c r="D40" s="98"/>
    </row>
    <row r="41" spans="1:4" ht="12.75">
      <c r="A41" s="423"/>
      <c r="B41" s="98"/>
      <c r="C41" s="98"/>
      <c r="D41" s="98"/>
    </row>
    <row r="42" ht="12.75">
      <c r="A42" s="424"/>
    </row>
    <row r="43" ht="12.75">
      <c r="A43" s="424"/>
    </row>
    <row r="44" ht="12.75">
      <c r="A44" s="424"/>
    </row>
    <row r="45" ht="12.75">
      <c r="A45" s="424"/>
    </row>
    <row r="46" ht="12.75">
      <c r="A46" s="424"/>
    </row>
    <row r="47" ht="12.75">
      <c r="A47" s="424"/>
    </row>
    <row r="48" ht="12.75">
      <c r="A48" s="424"/>
    </row>
    <row r="49" ht="12.75">
      <c r="A49" s="424"/>
    </row>
    <row r="50" ht="12.75">
      <c r="A50" s="424"/>
    </row>
    <row r="51" ht="12.75">
      <c r="A51" s="424"/>
    </row>
    <row r="52" ht="12.75">
      <c r="A52" s="424"/>
    </row>
    <row r="53" ht="12.75">
      <c r="A53" s="424"/>
    </row>
    <row r="54" ht="12.75">
      <c r="A54" s="403" t="str">
        <f>'Kalkyl-Total'!A56</f>
        <v>Rev. 2019-02-05 BP</v>
      </c>
    </row>
  </sheetData>
  <sheetProtection password="C74E" sheet="1"/>
  <printOptions/>
  <pageMargins left="0.7479166666666667" right="0.1701388888888889" top="0.6298611111111111" bottom="0.5" header="0.5118055555555555" footer="0.5118055555555555"/>
  <pageSetup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K154"/>
  <sheetViews>
    <sheetView showGridLines="0" showZeros="0" zoomScalePageLayoutView="0" workbookViewId="0" topLeftCell="A7">
      <selection activeCell="D12" sqref="D12"/>
    </sheetView>
  </sheetViews>
  <sheetFormatPr defaultColWidth="9.140625" defaultRowHeight="12.75"/>
  <cols>
    <col min="1" max="1" width="10.28125" style="1" customWidth="1"/>
    <col min="2" max="2" width="9.57421875" style="1" customWidth="1"/>
    <col min="3" max="3" width="11.421875" style="1" customWidth="1"/>
    <col min="4" max="4" width="11.00390625" style="1" customWidth="1"/>
    <col min="5" max="5" width="11.7109375" style="1" customWidth="1"/>
    <col min="6" max="6" width="10.8515625" style="1" customWidth="1"/>
    <col min="7" max="7" width="11.00390625" style="1" customWidth="1"/>
    <col min="8" max="8" width="11.421875" style="112" customWidth="1"/>
    <col min="9" max="9" width="9.8515625" style="112" customWidth="1"/>
    <col min="10" max="17" width="9.140625" style="112" hidden="1" customWidth="1"/>
    <col min="18" max="21" width="9.140625" style="1" hidden="1" customWidth="1"/>
    <col min="22" max="22" width="16.8515625" style="1" hidden="1" customWidth="1"/>
    <col min="23" max="23" width="16.00390625" style="1" hidden="1" customWidth="1"/>
    <col min="24" max="24" width="11.421875" style="1" hidden="1" customWidth="1"/>
    <col min="25" max="28" width="9.140625" style="1" hidden="1" customWidth="1"/>
    <col min="29" max="29" width="10.57421875" style="1" hidden="1" customWidth="1"/>
    <col min="30" max="32" width="9.140625" style="1" hidden="1" customWidth="1"/>
    <col min="33" max="33" width="9.00390625" style="1" hidden="1" customWidth="1"/>
    <col min="34" max="36" width="9.140625" style="1" hidden="1" customWidth="1"/>
    <col min="37" max="37" width="18.140625" style="1" hidden="1" customWidth="1"/>
    <col min="38" max="16384" width="9.140625" style="1" customWidth="1"/>
  </cols>
  <sheetData>
    <row r="1" spans="1:32" ht="12.75">
      <c r="A1" s="158"/>
      <c r="B1" s="84"/>
      <c r="C1" s="85"/>
      <c r="D1" s="85"/>
      <c r="E1" s="85"/>
      <c r="F1" s="86"/>
      <c r="G1" s="86"/>
      <c r="H1" s="86"/>
      <c r="I1" s="86"/>
      <c r="J1" s="159"/>
      <c r="K1" s="159"/>
      <c r="L1" s="159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1"/>
      <c r="AB1" s="161"/>
      <c r="AC1" s="161"/>
      <c r="AD1" s="161"/>
      <c r="AE1" s="161"/>
      <c r="AF1" s="161"/>
    </row>
    <row r="2" spans="1:33" ht="18">
      <c r="A2" s="88"/>
      <c r="B2" s="88"/>
      <c r="C2" s="88"/>
      <c r="D2" s="88"/>
      <c r="E2" s="162" t="s">
        <v>12</v>
      </c>
      <c r="F2" s="88"/>
      <c r="G2"/>
      <c r="H2"/>
      <c r="I2" s="108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3" t="s">
        <v>61</v>
      </c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88"/>
    </row>
    <row r="3" spans="1:33" ht="15.75">
      <c r="A3" s="88"/>
      <c r="B3" s="88"/>
      <c r="C3" s="88"/>
      <c r="D3" s="88"/>
      <c r="E3" s="88"/>
      <c r="F3" s="88"/>
      <c r="G3" s="88"/>
      <c r="H3" s="88"/>
      <c r="I3" s="88"/>
      <c r="J3" s="160"/>
      <c r="K3" s="164" t="s">
        <v>62</v>
      </c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88"/>
    </row>
    <row r="4" spans="1:33" ht="12.75">
      <c r="A4" s="88"/>
      <c r="B4" s="88"/>
      <c r="C4" s="88"/>
      <c r="D4" s="88"/>
      <c r="E4" s="88"/>
      <c r="F4" s="88"/>
      <c r="G4" s="88"/>
      <c r="H4" s="88"/>
      <c r="I4" s="88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1"/>
      <c r="X4" s="160"/>
      <c r="Y4" s="160"/>
      <c r="Z4" s="160"/>
      <c r="AA4" s="160"/>
      <c r="AB4" s="160"/>
      <c r="AC4" s="160"/>
      <c r="AD4" s="160"/>
      <c r="AE4" s="160"/>
      <c r="AF4" s="160"/>
      <c r="AG4" s="88"/>
    </row>
    <row r="5" spans="1:33" ht="12.75">
      <c r="A5" s="165" t="s">
        <v>63</v>
      </c>
      <c r="B5" s="166"/>
      <c r="C5" s="166" t="s">
        <v>64</v>
      </c>
      <c r="D5" s="166"/>
      <c r="E5" s="166" t="s">
        <v>65</v>
      </c>
      <c r="F5" s="88"/>
      <c r="G5" s="88"/>
      <c r="H5" s="88"/>
      <c r="I5" s="88"/>
      <c r="J5" s="160"/>
      <c r="K5" s="160"/>
      <c r="L5" s="160"/>
      <c r="M5" s="160"/>
      <c r="N5" s="160"/>
      <c r="O5" s="160"/>
      <c r="P5" s="160"/>
      <c r="Q5" s="160"/>
      <c r="R5" s="160"/>
      <c r="S5" s="163"/>
      <c r="T5" s="161"/>
      <c r="U5" s="160"/>
      <c r="V5" s="160"/>
      <c r="W5" s="161"/>
      <c r="X5" s="160"/>
      <c r="Y5" s="160"/>
      <c r="Z5" s="160"/>
      <c r="AA5" s="160"/>
      <c r="AB5" s="160"/>
      <c r="AC5" s="160"/>
      <c r="AD5" s="160"/>
      <c r="AE5" s="160"/>
      <c r="AF5" s="160"/>
      <c r="AG5" s="88"/>
    </row>
    <row r="6" spans="1:33" ht="12.75">
      <c r="A6" s="165" t="s">
        <v>66</v>
      </c>
      <c r="B6" s="167"/>
      <c r="C6" s="167"/>
      <c r="D6" s="167"/>
      <c r="E6" s="168" t="s">
        <v>67</v>
      </c>
      <c r="G6" s="169" t="s">
        <v>68</v>
      </c>
      <c r="H6" s="170">
        <f>'Kalkyl-Total'!I4</f>
        <v>45020</v>
      </c>
      <c r="I6" s="171"/>
      <c r="J6" s="172"/>
      <c r="K6" s="172"/>
      <c r="L6" s="172"/>
      <c r="M6" s="172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88"/>
    </row>
    <row r="7" spans="1:33" ht="12.75">
      <c r="A7" s="168" t="s">
        <v>69</v>
      </c>
      <c r="B7" s="168" t="s">
        <v>70</v>
      </c>
      <c r="C7" s="167"/>
      <c r="D7" s="167"/>
      <c r="E7" s="167"/>
      <c r="F7" s="167"/>
      <c r="G7" s="88"/>
      <c r="H7" s="88"/>
      <c r="I7" s="88"/>
      <c r="J7" s="160"/>
      <c r="K7" s="172"/>
      <c r="L7" s="160"/>
      <c r="M7" s="160"/>
      <c r="N7" s="160"/>
      <c r="O7" s="160"/>
      <c r="P7" s="160"/>
      <c r="Q7" s="160"/>
      <c r="R7" s="160"/>
      <c r="S7" s="161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88"/>
    </row>
    <row r="8" spans="1:32" ht="15.75">
      <c r="A8" s="165" t="s">
        <v>357</v>
      </c>
      <c r="B8" s="167"/>
      <c r="C8" s="167"/>
      <c r="D8" s="167"/>
      <c r="E8" s="167"/>
      <c r="F8" s="167"/>
      <c r="G8" s="88"/>
      <c r="H8" s="514">
        <v>2023</v>
      </c>
      <c r="I8" s="88"/>
      <c r="J8" s="160"/>
      <c r="K8" s="172"/>
      <c r="L8" s="160"/>
      <c r="M8" s="160"/>
      <c r="N8" s="160"/>
      <c r="O8" s="160"/>
      <c r="P8" s="160"/>
      <c r="Q8" s="160"/>
      <c r="R8" s="160"/>
      <c r="S8" s="161"/>
      <c r="T8" s="160"/>
      <c r="U8" s="160"/>
      <c r="V8" s="160"/>
      <c r="W8" s="160"/>
      <c r="X8" s="160"/>
      <c r="Y8" s="160"/>
      <c r="Z8" s="160"/>
      <c r="AA8" s="160"/>
      <c r="AB8" s="161"/>
      <c r="AC8" s="161"/>
      <c r="AD8" s="161"/>
      <c r="AE8" s="161"/>
      <c r="AF8" s="161"/>
    </row>
    <row r="9" spans="1:32" ht="20.25">
      <c r="A9" s="168"/>
      <c r="B9" s="88"/>
      <c r="C9" s="88"/>
      <c r="D9" s="88"/>
      <c r="E9" s="88"/>
      <c r="F9" s="88"/>
      <c r="G9" s="88"/>
      <c r="H9" s="88"/>
      <c r="I9" s="88"/>
      <c r="J9" s="160"/>
      <c r="K9" s="172"/>
      <c r="L9" s="160"/>
      <c r="M9" s="160"/>
      <c r="N9" s="172"/>
      <c r="O9" s="172"/>
      <c r="P9" s="172"/>
      <c r="Q9" s="172"/>
      <c r="R9" s="172"/>
      <c r="S9" s="161"/>
      <c r="T9" s="173" t="s">
        <v>358</v>
      </c>
      <c r="U9" s="174"/>
      <c r="V9" s="174"/>
      <c r="W9" s="174"/>
      <c r="X9" s="511">
        <f>H8</f>
        <v>2023</v>
      </c>
      <c r="Y9" s="174"/>
      <c r="Z9" s="175"/>
      <c r="AA9" s="160"/>
      <c r="AB9" s="161"/>
      <c r="AC9" s="161"/>
      <c r="AD9" s="161"/>
      <c r="AE9" s="161"/>
      <c r="AF9" s="161"/>
    </row>
    <row r="10" spans="1:32" s="15" customFormat="1" ht="9.75" customHeight="1" thickBot="1">
      <c r="A10" s="117" t="s">
        <v>71</v>
      </c>
      <c r="B10" s="176"/>
      <c r="C10" s="177" t="s">
        <v>72</v>
      </c>
      <c r="D10" s="178" t="s">
        <v>73</v>
      </c>
      <c r="E10" s="177" t="s">
        <v>74</v>
      </c>
      <c r="F10" s="177" t="s">
        <v>75</v>
      </c>
      <c r="G10" s="179" t="s">
        <v>76</v>
      </c>
      <c r="H10" s="180"/>
      <c r="I10" s="110"/>
      <c r="J10" s="181"/>
      <c r="K10" s="182"/>
      <c r="L10" s="181"/>
      <c r="M10" s="181"/>
      <c r="N10" s="183"/>
      <c r="O10" s="183"/>
      <c r="P10" s="183"/>
      <c r="Q10" s="183"/>
      <c r="R10" s="183"/>
      <c r="S10" s="182"/>
      <c r="T10" s="184"/>
      <c r="U10" s="185"/>
      <c r="V10" s="185"/>
      <c r="W10" s="185"/>
      <c r="X10" s="185"/>
      <c r="Y10" s="185"/>
      <c r="Z10" s="186"/>
      <c r="AA10" s="181"/>
      <c r="AB10" s="182"/>
      <c r="AC10" s="182"/>
      <c r="AD10" s="182"/>
      <c r="AE10" s="182"/>
      <c r="AF10" s="182"/>
    </row>
    <row r="11" spans="1:32" ht="15.75">
      <c r="A11" s="129">
        <f>'Kalkyl-Total'!D4</f>
        <v>0</v>
      </c>
      <c r="B11" s="187"/>
      <c r="C11" s="188" t="str">
        <f>'Kalkyl-Total'!F4</f>
        <v>                   </v>
      </c>
      <c r="D11" s="425">
        <v>720000</v>
      </c>
      <c r="E11" s="189">
        <v>0</v>
      </c>
      <c r="F11" s="190">
        <v>0</v>
      </c>
      <c r="G11" s="131" t="str">
        <f>'Kalkyl-Total'!A4</f>
        <v>Erica Bernardin           </v>
      </c>
      <c r="H11" s="191"/>
      <c r="I11" s="192"/>
      <c r="J11" s="160"/>
      <c r="K11" s="193" t="s">
        <v>77</v>
      </c>
      <c r="L11" s="194">
        <v>7</v>
      </c>
      <c r="M11" s="160"/>
      <c r="N11" s="172"/>
      <c r="O11" s="172"/>
      <c r="P11" s="172"/>
      <c r="Q11" s="172"/>
      <c r="R11" s="172"/>
      <c r="S11" s="161"/>
      <c r="T11" s="184" t="s">
        <v>337</v>
      </c>
      <c r="U11" s="185"/>
      <c r="V11" s="185"/>
      <c r="W11" s="195">
        <f>L13</f>
        <v>46500</v>
      </c>
      <c r="X11" s="185"/>
      <c r="Y11" s="185"/>
      <c r="Z11" s="186"/>
      <c r="AA11" s="160"/>
      <c r="AB11" s="161"/>
      <c r="AC11" s="161"/>
      <c r="AD11" s="161"/>
      <c r="AE11" s="161"/>
      <c r="AF11" s="161"/>
    </row>
    <row r="12" spans="1:32" s="15" customFormat="1" ht="9.75" customHeight="1">
      <c r="A12" s="117" t="s">
        <v>78</v>
      </c>
      <c r="B12" s="176"/>
      <c r="C12" s="177"/>
      <c r="D12" s="178" t="s">
        <v>73</v>
      </c>
      <c r="E12" s="177" t="s">
        <v>74</v>
      </c>
      <c r="F12" s="177" t="s">
        <v>79</v>
      </c>
      <c r="G12" s="179"/>
      <c r="H12" s="180"/>
      <c r="I12" s="110"/>
      <c r="J12" s="181" t="e">
        <f>+J:(VJJ):W</f>
        <v>#NAME?</v>
      </c>
      <c r="K12" s="193" t="s">
        <v>80</v>
      </c>
      <c r="L12" s="196">
        <v>0</v>
      </c>
      <c r="M12" s="181"/>
      <c r="N12" s="183"/>
      <c r="O12" s="183"/>
      <c r="P12" s="183"/>
      <c r="Q12" s="183"/>
      <c r="R12" s="183"/>
      <c r="S12" s="182"/>
      <c r="T12" s="184"/>
      <c r="U12" s="185"/>
      <c r="V12" s="185"/>
      <c r="W12"/>
      <c r="X12" s="185"/>
      <c r="Y12" s="185"/>
      <c r="Z12" s="186"/>
      <c r="AA12" s="181"/>
      <c r="AB12" s="182"/>
      <c r="AC12" s="182"/>
      <c r="AD12" s="182"/>
      <c r="AE12" s="182"/>
      <c r="AF12" s="182"/>
    </row>
    <row r="13" spans="1:32" ht="12.75">
      <c r="A13" s="129">
        <f>'Kalkyl-Total'!D5</f>
        <v>0</v>
      </c>
      <c r="B13" s="187"/>
      <c r="C13" s="197" t="str">
        <f>'Kalkyl-Total'!F5</f>
        <v>                </v>
      </c>
      <c r="D13" s="425"/>
      <c r="E13" s="189">
        <v>0</v>
      </c>
      <c r="F13" s="189"/>
      <c r="G13" s="198"/>
      <c r="H13" s="191"/>
      <c r="I13" s="192"/>
      <c r="J13" s="160"/>
      <c r="K13" s="193" t="s">
        <v>81</v>
      </c>
      <c r="L13" s="199">
        <v>46500</v>
      </c>
      <c r="M13" s="160"/>
      <c r="N13" s="172"/>
      <c r="O13" s="172"/>
      <c r="P13" s="172"/>
      <c r="Q13" s="172"/>
      <c r="R13" s="172"/>
      <c r="S13" s="161"/>
      <c r="T13" s="184"/>
      <c r="U13" s="185"/>
      <c r="V13" s="185"/>
      <c r="W13" s="185"/>
      <c r="X13" s="185"/>
      <c r="Y13" s="185"/>
      <c r="Z13" s="186"/>
      <c r="AA13" s="160"/>
      <c r="AB13" s="161"/>
      <c r="AC13" s="161"/>
      <c r="AD13" s="161"/>
      <c r="AE13" s="161"/>
      <c r="AF13" s="161"/>
    </row>
    <row r="14" spans="1:32" ht="9" customHeight="1">
      <c r="A14" s="86"/>
      <c r="B14" s="98"/>
      <c r="C14" s="98"/>
      <c r="D14" s="86"/>
      <c r="E14" s="86"/>
      <c r="F14" s="86"/>
      <c r="G14" s="98"/>
      <c r="H14" s="98"/>
      <c r="I14" s="192"/>
      <c r="J14" s="160"/>
      <c r="K14" s="193" t="s">
        <v>82</v>
      </c>
      <c r="L14" s="200">
        <v>64400</v>
      </c>
      <c r="M14" s="160"/>
      <c r="N14" s="172"/>
      <c r="O14" s="172"/>
      <c r="P14" s="172"/>
      <c r="Q14" s="172"/>
      <c r="R14" s="172"/>
      <c r="S14" s="161"/>
      <c r="T14" s="184" t="s">
        <v>83</v>
      </c>
      <c r="U14" s="185"/>
      <c r="V14" s="185"/>
      <c r="W14" s="185"/>
      <c r="X14" s="185"/>
      <c r="Y14" s="185" t="s">
        <v>84</v>
      </c>
      <c r="Z14" s="186" t="s">
        <v>85</v>
      </c>
      <c r="AA14" s="160"/>
      <c r="AB14" s="161"/>
      <c r="AC14" s="161"/>
      <c r="AD14" s="161"/>
      <c r="AE14" s="161"/>
      <c r="AF14" s="161"/>
    </row>
    <row r="15" spans="1:32" s="15" customFormat="1" ht="9.75" customHeight="1">
      <c r="A15" s="179" t="s">
        <v>86</v>
      </c>
      <c r="B15" s="176"/>
      <c r="C15" s="180"/>
      <c r="D15" s="113" t="s">
        <v>11</v>
      </c>
      <c r="E15" s="114"/>
      <c r="F15" s="113" t="s">
        <v>9</v>
      </c>
      <c r="G15" s="176"/>
      <c r="H15" s="201"/>
      <c r="I15" s="192"/>
      <c r="J15" s="181"/>
      <c r="K15" s="193" t="s">
        <v>87</v>
      </c>
      <c r="L15" s="202">
        <v>490700</v>
      </c>
      <c r="M15" s="181"/>
      <c r="N15" s="183"/>
      <c r="O15" s="183"/>
      <c r="P15" s="183"/>
      <c r="Q15" s="183"/>
      <c r="R15" s="183"/>
      <c r="S15" s="182"/>
      <c r="T15" s="184" t="s">
        <v>88</v>
      </c>
      <c r="U15" s="185"/>
      <c r="V15" s="185"/>
      <c r="W15" s="185"/>
      <c r="X15" s="185"/>
      <c r="Y15" s="185" t="s">
        <v>89</v>
      </c>
      <c r="Z15" s="203"/>
      <c r="AA15" s="181"/>
      <c r="AB15" s="182"/>
      <c r="AC15" s="182"/>
      <c r="AD15" s="182"/>
      <c r="AE15" s="182"/>
      <c r="AF15" s="182"/>
    </row>
    <row r="16" spans="1:32" ht="12.75">
      <c r="A16" s="131" t="str">
        <f>'Kalkyl-Total'!G4</f>
        <v>Månsabovägen 19</v>
      </c>
      <c r="B16" s="187"/>
      <c r="C16" s="191"/>
      <c r="D16" s="204" t="str">
        <f>'Kalkyl-Total'!G7</f>
        <v>Vaggeryd</v>
      </c>
      <c r="E16" s="133"/>
      <c r="F16" s="131" t="str">
        <f>'Kalkyl-Total'!A7</f>
        <v>Villa Fredriksdal</v>
      </c>
      <c r="G16" s="187"/>
      <c r="H16" s="191"/>
      <c r="I16" s="192"/>
      <c r="J16" s="160"/>
      <c r="K16" s="193" t="s">
        <v>90</v>
      </c>
      <c r="L16" s="205">
        <v>20</v>
      </c>
      <c r="M16" s="160"/>
      <c r="N16" s="172"/>
      <c r="O16" s="172"/>
      <c r="P16" s="172"/>
      <c r="Q16" s="172"/>
      <c r="R16" s="172"/>
      <c r="S16" s="161"/>
      <c r="T16" s="184" t="s">
        <v>91</v>
      </c>
      <c r="U16" s="185"/>
      <c r="V16" s="206">
        <v>0.99</v>
      </c>
      <c r="W16" s="207" t="s">
        <v>92</v>
      </c>
      <c r="X16" s="208"/>
      <c r="Y16" s="209">
        <f>ROUND(0.423*$W$11+50,-2)</f>
        <v>19700</v>
      </c>
      <c r="Z16" s="209">
        <f>ROUND(0.423*$W$11+50,-2)</f>
        <v>19700</v>
      </c>
      <c r="AA16" s="160"/>
      <c r="AB16" s="161"/>
      <c r="AC16" s="161"/>
      <c r="AD16" s="161"/>
      <c r="AE16" s="161"/>
      <c r="AF16" s="161"/>
    </row>
    <row r="17" spans="1:32" s="15" customFormat="1" ht="9.75" customHeight="1">
      <c r="A17" s="177" t="s">
        <v>93</v>
      </c>
      <c r="B17" s="210"/>
      <c r="C17" s="177" t="s">
        <v>94</v>
      </c>
      <c r="D17" s="177" t="s">
        <v>95</v>
      </c>
      <c r="E17" s="177" t="s">
        <v>96</v>
      </c>
      <c r="F17" s="179" t="s">
        <v>10</v>
      </c>
      <c r="G17" s="180"/>
      <c r="H17" s="177"/>
      <c r="I17" s="110"/>
      <c r="J17" s="181"/>
      <c r="K17" s="211" t="s">
        <v>97</v>
      </c>
      <c r="L17" s="212">
        <v>0</v>
      </c>
      <c r="M17" s="181"/>
      <c r="N17" s="183"/>
      <c r="O17" s="183"/>
      <c r="P17" s="183"/>
      <c r="Q17" s="183"/>
      <c r="R17" s="183"/>
      <c r="S17" s="182"/>
      <c r="T17" s="184" t="s">
        <v>98</v>
      </c>
      <c r="U17" s="185"/>
      <c r="V17" s="206">
        <v>2.72</v>
      </c>
      <c r="W17" s="207" t="s">
        <v>99</v>
      </c>
      <c r="X17" s="208"/>
      <c r="Y17" s="209">
        <f>ROUND(0.423*$W$11+(V22-0.99*$W$11)*0.2+50,-2)</f>
        <v>154500</v>
      </c>
      <c r="Z17" s="209">
        <f>ROUND(0.423*$W$11+(W22-0.99*$W$11)*0.2+50,-2)</f>
        <v>10500</v>
      </c>
      <c r="AA17" s="181"/>
      <c r="AB17" s="182"/>
      <c r="AC17" s="182"/>
      <c r="AD17" s="182"/>
      <c r="AE17" s="182"/>
      <c r="AF17" s="182"/>
    </row>
    <row r="18" spans="1:32" ht="12.75">
      <c r="A18" s="213">
        <v>33</v>
      </c>
      <c r="B18" s="214">
        <v>0</v>
      </c>
      <c r="C18" s="213" t="s">
        <v>12</v>
      </c>
      <c r="D18" s="215">
        <v>2022</v>
      </c>
      <c r="E18" s="215">
        <v>2022</v>
      </c>
      <c r="F18" s="131">
        <f>'Kalkyl-Total'!D7</f>
        <v>0</v>
      </c>
      <c r="G18" s="191"/>
      <c r="H18" s="214">
        <v>0</v>
      </c>
      <c r="I18" s="216"/>
      <c r="J18" s="160"/>
      <c r="K18" s="193" t="s">
        <v>100</v>
      </c>
      <c r="L18" s="217">
        <v>5</v>
      </c>
      <c r="M18" s="160"/>
      <c r="N18" s="172"/>
      <c r="O18" s="172"/>
      <c r="P18" s="172"/>
      <c r="Q18" s="172"/>
      <c r="R18" s="172"/>
      <c r="S18" s="161"/>
      <c r="T18" s="184" t="s">
        <v>101</v>
      </c>
      <c r="U18" s="185"/>
      <c r="V18" s="206">
        <v>3.11</v>
      </c>
      <c r="W18" s="207" t="s">
        <v>102</v>
      </c>
      <c r="X18" s="208"/>
      <c r="Y18" s="209">
        <f>ROUND(0.77*$W$11+50,-2)</f>
        <v>35900</v>
      </c>
      <c r="Z18" s="209">
        <f>ROUND(0.77*$W$11+50,-2)</f>
        <v>35900</v>
      </c>
      <c r="AA18" s="160"/>
      <c r="AB18" s="161"/>
      <c r="AC18" s="161"/>
      <c r="AD18" s="161"/>
      <c r="AE18" s="161"/>
      <c r="AF18" s="161"/>
    </row>
    <row r="19" spans="1:32" ht="12.75">
      <c r="A19"/>
      <c r="B19"/>
      <c r="C19"/>
      <c r="D19"/>
      <c r="E19"/>
      <c r="F19"/>
      <c r="G19"/>
      <c r="H19"/>
      <c r="I19" s="108"/>
      <c r="J19" s="160"/>
      <c r="K19" s="211" t="s">
        <v>103</v>
      </c>
      <c r="L19" s="212">
        <v>689300</v>
      </c>
      <c r="M19" s="160"/>
      <c r="N19" s="172"/>
      <c r="O19" s="172"/>
      <c r="P19" s="172"/>
      <c r="Q19" s="160"/>
      <c r="R19" s="160"/>
      <c r="S19" s="160"/>
      <c r="T19" s="184" t="s">
        <v>104</v>
      </c>
      <c r="U19" s="185"/>
      <c r="V19" s="206">
        <v>7.88</v>
      </c>
      <c r="W19" s="207" t="s">
        <v>105</v>
      </c>
      <c r="X19" s="208"/>
      <c r="Y19" s="209">
        <f>ROUND(0.77*W11-(V22-3.11*W11)*0.1+50,-2)</f>
        <v>-21700</v>
      </c>
      <c r="Z19" s="209">
        <f>ROUND(0.77*$W$11-(W22-3.11*$W$11)*0.1+50,-2)</f>
        <v>50300</v>
      </c>
      <c r="AA19" s="160"/>
      <c r="AB19" s="161"/>
      <c r="AC19" s="161"/>
      <c r="AD19" s="161"/>
      <c r="AE19" s="161"/>
      <c r="AF19" s="161"/>
    </row>
    <row r="20" spans="1:32" ht="12.75">
      <c r="A20" s="117" t="s">
        <v>106</v>
      </c>
      <c r="B20" s="218"/>
      <c r="C20" s="219" t="s">
        <v>107</v>
      </c>
      <c r="D20" s="219" t="s">
        <v>108</v>
      </c>
      <c r="E20" s="220" t="s">
        <v>109</v>
      </c>
      <c r="F20" s="221" t="s">
        <v>110</v>
      </c>
      <c r="G20" s="222"/>
      <c r="H20" s="223">
        <f>'Kalkyl-Total'!G14+'Kalkyl-Total'!G24</f>
        <v>2599800</v>
      </c>
      <c r="I20" s="86"/>
      <c r="J20" s="160"/>
      <c r="K20" s="224" t="s">
        <v>111</v>
      </c>
      <c r="L20" s="225"/>
      <c r="M20" s="160"/>
      <c r="N20" s="172"/>
      <c r="O20" s="172"/>
      <c r="P20" s="172"/>
      <c r="Q20" s="172"/>
      <c r="R20" s="172"/>
      <c r="S20" s="172"/>
      <c r="T20" s="184" t="s">
        <v>112</v>
      </c>
      <c r="U20" s="185"/>
      <c r="V20" s="206">
        <v>7.88</v>
      </c>
      <c r="W20" s="207" t="s">
        <v>113</v>
      </c>
      <c r="X20" s="208"/>
      <c r="Y20" s="209">
        <f>ROUND(0.293*$W$11+50,-2)</f>
        <v>13700</v>
      </c>
      <c r="Z20" s="209">
        <f>ROUND(0.293*$W$11+50,-2)</f>
        <v>13700</v>
      </c>
      <c r="AA20" s="160"/>
      <c r="AB20" s="161"/>
      <c r="AC20" s="161"/>
      <c r="AD20" s="161"/>
      <c r="AE20" s="161"/>
      <c r="AF20" s="161"/>
    </row>
    <row r="21" spans="1:32" ht="12.75">
      <c r="A21" s="226"/>
      <c r="B21" s="227"/>
      <c r="C21" s="228"/>
      <c r="D21" s="229"/>
      <c r="E21" s="230" t="s">
        <v>114</v>
      </c>
      <c r="F21" s="221" t="s">
        <v>115</v>
      </c>
      <c r="G21" s="222"/>
      <c r="H21" s="223">
        <f>'Kalkyl-Total'!G41-'Kalkyl-Total'!E25-'Kalkyl-Total'!F25-'Kalkyl-Total'!D25+'Kalkyl-Total'!G46+'Kalkyl-Total'!G51</f>
        <v>569300</v>
      </c>
      <c r="I21" s="86"/>
      <c r="J21" s="160"/>
      <c r="K21" s="193" t="s">
        <v>116</v>
      </c>
      <c r="L21" s="231">
        <f>ROUND(IF((D11+E11)&lt;8.07*L14,(D11+E11)*L23/100,L14*8.07*L23/100),-2)</f>
        <v>36400</v>
      </c>
      <c r="M21" s="160"/>
      <c r="N21" s="172"/>
      <c r="O21" s="172"/>
      <c r="P21" s="172"/>
      <c r="Q21" s="172"/>
      <c r="R21" s="172"/>
      <c r="S21" s="172"/>
      <c r="T21" s="184"/>
      <c r="U21" s="185"/>
      <c r="V21" s="185"/>
      <c r="W21" s="185"/>
      <c r="X21" s="185"/>
      <c r="Y21" s="185"/>
      <c r="Z21" s="232"/>
      <c r="AA21" s="160"/>
      <c r="AB21" s="161"/>
      <c r="AC21" s="161"/>
      <c r="AD21" s="161"/>
      <c r="AE21" s="161"/>
      <c r="AF21" s="161"/>
    </row>
    <row r="22" spans="1:32" ht="15.75">
      <c r="A22" s="233" t="s">
        <v>117</v>
      </c>
      <c r="B22" s="227"/>
      <c r="C22" s="486">
        <v>0.0479</v>
      </c>
      <c r="D22" s="504">
        <f>IF(H27=0,0,IF(H24/H27&gt;0.5,0,Blad1!G13))</f>
        <v>0.02</v>
      </c>
      <c r="E22" s="234">
        <v>1</v>
      </c>
      <c r="F22" s="221" t="s">
        <v>118</v>
      </c>
      <c r="G22" s="222"/>
      <c r="H22" s="223">
        <f>'Kalkyl-Total'!D25+'Kalkyl-Total'!E25+'Kalkyl-Total'!F25</f>
        <v>600000</v>
      </c>
      <c r="I22" s="86"/>
      <c r="J22" s="159"/>
      <c r="K22" s="193" t="s">
        <v>85</v>
      </c>
      <c r="L22" s="231">
        <f>ROUND(IF((D13+E13)&lt;8.07*L14,(D13+E13)*L23/100,L14*8.07*L23/100),-2)</f>
        <v>0</v>
      </c>
      <c r="M22" s="160"/>
      <c r="N22" s="172"/>
      <c r="O22" s="172"/>
      <c r="P22" s="172"/>
      <c r="Q22" s="172"/>
      <c r="R22" s="172"/>
      <c r="S22" s="172"/>
      <c r="T22" s="184" t="s">
        <v>119</v>
      </c>
      <c r="U22" s="185"/>
      <c r="V22" s="195">
        <f>D11</f>
        <v>720000</v>
      </c>
      <c r="W22" s="195">
        <f>D13</f>
        <v>0</v>
      </c>
      <c r="X22" s="185"/>
      <c r="Y22" s="185"/>
      <c r="Z22" s="186"/>
      <c r="AA22" s="160"/>
      <c r="AB22" s="161"/>
      <c r="AC22" s="161"/>
      <c r="AD22" s="161"/>
      <c r="AE22" s="161"/>
      <c r="AF22" s="161"/>
    </row>
    <row r="23" spans="1:32" ht="16.5" thickBot="1">
      <c r="A23" s="233" t="s">
        <v>120</v>
      </c>
      <c r="B23" s="227"/>
      <c r="C23" s="487">
        <v>0.0489</v>
      </c>
      <c r="D23" s="505">
        <f>IF(H27=0,0,IF(H24/H27&gt;0.5,0,Blad1!G13))</f>
        <v>0.02</v>
      </c>
      <c r="E23" s="235">
        <v>2</v>
      </c>
      <c r="F23" s="236" t="s">
        <v>121</v>
      </c>
      <c r="G23" s="237"/>
      <c r="H23" s="238">
        <f>SUM(H20:H22)</f>
        <v>3769100</v>
      </c>
      <c r="I23" s="155"/>
      <c r="J23" s="159"/>
      <c r="K23" s="239" t="s">
        <v>122</v>
      </c>
      <c r="L23" s="240">
        <f>L11+R21</f>
        <v>7</v>
      </c>
      <c r="M23" s="159"/>
      <c r="N23" s="172"/>
      <c r="O23" s="172"/>
      <c r="P23" s="172"/>
      <c r="Q23" s="172"/>
      <c r="R23" s="172"/>
      <c r="S23" s="172"/>
      <c r="T23" s="184" t="s">
        <v>123</v>
      </c>
      <c r="U23" s="185"/>
      <c r="V23" s="195">
        <f>IF(V22&lt;W11*V16,Y16,IF(AND(V22&lt;V17*W11,V22&gt;V16),Y17,IF(AND(V22&lt;V18*W11,V22&gt;W11*V17),Y18,IF(AND(V22&lt;V19*W11,V22&gt;V18*W11),Y19,IF(V22&lt;V20,0,Y20)))))</f>
        <v>13700</v>
      </c>
      <c r="W23" s="195">
        <f>IF(W22&lt;W11*V16,Z16,IF(AND(W22&lt;V17*W11,W22&gt;V16),Z17,IF(AND(W22&lt;V18*W11,W22&gt;W11*V17),Z18,IF(AND(W22&lt;V19*W11,W22&gt;V18*W11),Z19,IF(W22&lt;V20,0,Z20)))))</f>
        <v>19700</v>
      </c>
      <c r="X23" s="185"/>
      <c r="Y23" s="185"/>
      <c r="Z23" s="186"/>
      <c r="AA23" s="160"/>
      <c r="AB23" s="161"/>
      <c r="AC23" s="161"/>
      <c r="AD23" s="161"/>
      <c r="AE23" s="161"/>
      <c r="AF23" s="161"/>
    </row>
    <row r="24" spans="1:33" ht="16.5" thickBot="1">
      <c r="A24" s="249" t="s">
        <v>126</v>
      </c>
      <c r="B24" s="250"/>
      <c r="C24" s="488">
        <v>0.06</v>
      </c>
      <c r="D24" s="489">
        <v>0.1</v>
      </c>
      <c r="E24" s="251" t="s">
        <v>269</v>
      </c>
      <c r="F24" s="221" t="s">
        <v>124</v>
      </c>
      <c r="G24" s="241"/>
      <c r="H24" s="242">
        <v>569000</v>
      </c>
      <c r="I24" s="243"/>
      <c r="J24" s="159"/>
      <c r="K24" s="193" t="s">
        <v>125</v>
      </c>
      <c r="L24" s="244">
        <v>8.07</v>
      </c>
      <c r="M24" s="159"/>
      <c r="N24" s="172"/>
      <c r="O24" s="172"/>
      <c r="P24" s="172"/>
      <c r="Q24" s="172"/>
      <c r="R24" s="172"/>
      <c r="S24" s="172"/>
      <c r="T24" s="245"/>
      <c r="U24" s="246"/>
      <c r="V24" s="246"/>
      <c r="W24" s="246"/>
      <c r="X24" s="246"/>
      <c r="Y24" s="247"/>
      <c r="Z24" s="248"/>
      <c r="AA24" s="160"/>
      <c r="AB24" s="160"/>
      <c r="AC24" s="160"/>
      <c r="AD24" s="160"/>
      <c r="AE24" s="160"/>
      <c r="AF24" s="160"/>
      <c r="AG24" s="88"/>
    </row>
    <row r="25" spans="6:33" ht="12.75">
      <c r="F25" s="252" t="s">
        <v>127</v>
      </c>
      <c r="G25" s="237"/>
      <c r="H25" s="253">
        <f>H23-H24</f>
        <v>3200100</v>
      </c>
      <c r="I25" s="86"/>
      <c r="J25" s="254"/>
      <c r="K25" s="254"/>
      <c r="L25" s="254"/>
      <c r="M25" s="160"/>
      <c r="N25" s="172"/>
      <c r="O25" s="160"/>
      <c r="P25" s="172"/>
      <c r="Q25" s="172"/>
      <c r="R25" s="172"/>
      <c r="S25" s="172"/>
      <c r="T25" s="172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88"/>
    </row>
    <row r="26" spans="1:33" ht="12.75">
      <c r="A26" s="301"/>
      <c r="B26" s="107"/>
      <c r="C26" s="503"/>
      <c r="D26" s="255"/>
      <c r="E26" s="256"/>
      <c r="F26" s="252" t="s">
        <v>319</v>
      </c>
      <c r="G26" s="237"/>
      <c r="H26" s="443">
        <v>0</v>
      </c>
      <c r="I26" s="86"/>
      <c r="J26" s="254"/>
      <c r="K26" s="254"/>
      <c r="L26" s="254"/>
      <c r="M26" s="160"/>
      <c r="N26" s="172"/>
      <c r="O26" s="160"/>
      <c r="P26" s="172"/>
      <c r="Q26" s="172"/>
      <c r="R26" s="172"/>
      <c r="S26" s="172"/>
      <c r="T26" s="172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88"/>
    </row>
    <row r="27" spans="1:33" ht="12.75">
      <c r="A27" s="110"/>
      <c r="B27" s="107"/>
      <c r="D27" s="255"/>
      <c r="E27" s="256"/>
      <c r="F27" s="257" t="s">
        <v>128</v>
      </c>
      <c r="G27" s="250"/>
      <c r="H27" s="144">
        <f>H23+H26</f>
        <v>3769100</v>
      </c>
      <c r="I27" s="86"/>
      <c r="J27" s="254"/>
      <c r="K27" s="254"/>
      <c r="L27" s="254"/>
      <c r="M27" s="160"/>
      <c r="N27" s="160"/>
      <c r="O27" s="160"/>
      <c r="P27" s="172"/>
      <c r="Q27" s="172"/>
      <c r="R27" s="172"/>
      <c r="S27" s="172"/>
      <c r="T27" s="172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88"/>
    </row>
    <row r="28" spans="1:33" ht="13.5" thickBot="1">
      <c r="A28" s="112"/>
      <c r="B28" s="112"/>
      <c r="C28" s="112"/>
      <c r="D28" s="112"/>
      <c r="E28" s="112"/>
      <c r="F28" s="112"/>
      <c r="G28" s="88"/>
      <c r="H28" s="88" t="s">
        <v>12</v>
      </c>
      <c r="I28" s="88"/>
      <c r="J28" s="159"/>
      <c r="K28" s="172"/>
      <c r="L28" s="159"/>
      <c r="M28" s="172"/>
      <c r="N28" s="172"/>
      <c r="O28" s="172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88"/>
    </row>
    <row r="29" spans="1:33" ht="12.75">
      <c r="A29" s="117" t="s">
        <v>129</v>
      </c>
      <c r="B29" s="136"/>
      <c r="C29" s="176"/>
      <c r="D29" s="201"/>
      <c r="E29" s="212" t="s">
        <v>130</v>
      </c>
      <c r="F29" s="258" t="s">
        <v>107</v>
      </c>
      <c r="G29" s="258" t="s">
        <v>131</v>
      </c>
      <c r="H29" s="219" t="s">
        <v>132</v>
      </c>
      <c r="I29" s="216"/>
      <c r="J29" s="159"/>
      <c r="K29" s="172"/>
      <c r="L29" s="159"/>
      <c r="M29" s="160"/>
      <c r="N29" s="172"/>
      <c r="O29" s="172"/>
      <c r="P29" s="160"/>
      <c r="Q29" s="160"/>
      <c r="R29" s="160"/>
      <c r="S29" s="160"/>
      <c r="T29" s="160"/>
      <c r="U29" s="259" t="s">
        <v>133</v>
      </c>
      <c r="V29" s="260"/>
      <c r="W29" s="261"/>
      <c r="X29" s="262" t="s">
        <v>134</v>
      </c>
      <c r="Y29" s="262" t="s">
        <v>135</v>
      </c>
      <c r="Z29" s="263" t="s">
        <v>132</v>
      </c>
      <c r="AA29" s="160"/>
      <c r="AB29" s="160"/>
      <c r="AC29" s="456" t="s">
        <v>342</v>
      </c>
      <c r="AD29" s="456"/>
      <c r="AE29" s="456">
        <f>((2.155*AF45-V23)*(A18-1.2)/100+0.03*13.54*AF45)/0.03</f>
        <v>1546589.5</v>
      </c>
      <c r="AF29" s="160"/>
      <c r="AG29" s="88"/>
    </row>
    <row r="30" spans="1:33" ht="12.75">
      <c r="A30" s="522" t="s">
        <v>117</v>
      </c>
      <c r="B30" s="526"/>
      <c r="C30" s="524"/>
      <c r="D30" s="510"/>
      <c r="E30" s="284">
        <f>Blad1!F17</f>
        <v>1884550</v>
      </c>
      <c r="F30" s="152">
        <f>C22*E30</f>
        <v>90269.94499999999</v>
      </c>
      <c r="G30" s="152">
        <f>IF(H27=0,0,IF(E30&lt;H27*0.5,0,D22*E30))</f>
        <v>37691</v>
      </c>
      <c r="H30" s="152">
        <f>SUM(F30:G30)</f>
        <v>127960.94499999999</v>
      </c>
      <c r="I30" s="86"/>
      <c r="J30" s="160"/>
      <c r="K30" s="266"/>
      <c r="L30" s="160"/>
      <c r="M30" s="160"/>
      <c r="N30" s="172"/>
      <c r="O30" s="267" t="s">
        <v>136</v>
      </c>
      <c r="P30" s="200" t="s">
        <v>137</v>
      </c>
      <c r="Q30" s="268" t="s">
        <v>138</v>
      </c>
      <c r="R30" s="268"/>
      <c r="S30" s="269"/>
      <c r="T30" s="160"/>
      <c r="U30" s="270"/>
      <c r="V30" s="271"/>
      <c r="W30" s="272"/>
      <c r="X30" s="273"/>
      <c r="Y30" s="274"/>
      <c r="Z30" s="275"/>
      <c r="AA30" s="161"/>
      <c r="AB30" s="161"/>
      <c r="AC30" s="456" t="s">
        <v>343</v>
      </c>
      <c r="AD30" s="456"/>
      <c r="AE30" s="456">
        <f>((2.155*AF45-W23)*(A18-1.2)/100+0.03*13.54*AF45)/0.03</f>
        <v>1482989.5</v>
      </c>
      <c r="AF30" s="160"/>
      <c r="AG30" s="88"/>
    </row>
    <row r="31" spans="1:33" ht="12.75">
      <c r="A31" s="522" t="s">
        <v>139</v>
      </c>
      <c r="B31" s="523">
        <f>IF(D31&gt;1,"Bör vara maximalt kronor","")</f>
      </c>
      <c r="C31" s="524"/>
      <c r="D31" s="525">
        <f>IF(E32-E30-E31+5&gt;1,0,E32-E30)</f>
        <v>0</v>
      </c>
      <c r="E31" s="284">
        <f>Blad1!F18</f>
        <v>1315550</v>
      </c>
      <c r="F31" s="152">
        <f>C23*E31</f>
        <v>64330.395</v>
      </c>
      <c r="G31" s="152">
        <f>IF(H27=0,0,D23*E31)</f>
        <v>26311</v>
      </c>
      <c r="H31" s="152">
        <f>SUM(F31:G31)</f>
        <v>90641.39499999999</v>
      </c>
      <c r="I31" s="86"/>
      <c r="J31" s="160"/>
      <c r="K31" s="160"/>
      <c r="L31" s="160"/>
      <c r="M31" s="160"/>
      <c r="N31" s="172"/>
      <c r="O31" s="267"/>
      <c r="P31" s="200"/>
      <c r="Q31" s="277" t="s">
        <v>140</v>
      </c>
      <c r="R31" s="258" t="s">
        <v>141</v>
      </c>
      <c r="S31" s="202"/>
      <c r="T31" s="160"/>
      <c r="U31" s="270" t="s">
        <v>142</v>
      </c>
      <c r="V31" s="271"/>
      <c r="W31" s="272"/>
      <c r="X31" s="273">
        <f>D11</f>
        <v>720000</v>
      </c>
      <c r="Y31" s="278">
        <f>D13</f>
        <v>0</v>
      </c>
      <c r="Z31" s="279">
        <f>SUM(X31:Y31)</f>
        <v>720000</v>
      </c>
      <c r="AA31" s="161"/>
      <c r="AB31" s="161"/>
      <c r="AC31" s="160"/>
      <c r="AD31" s="160"/>
      <c r="AE31" s="160"/>
      <c r="AF31" s="160"/>
      <c r="AG31" s="88"/>
    </row>
    <row r="32" spans="1:33" ht="12.75">
      <c r="A32" s="233" t="s">
        <v>144</v>
      </c>
      <c r="B32" s="285"/>
      <c r="C32" s="506"/>
      <c r="D32" s="521">
        <f>IF(H27=0,0,Blad1!G12)</f>
        <v>0.8490355787853864</v>
      </c>
      <c r="E32" s="253">
        <f>SUM(E30:E31)</f>
        <v>3200100</v>
      </c>
      <c r="F32" s="253">
        <f>SUM(F30:F31)</f>
        <v>154600.34</v>
      </c>
      <c r="G32" s="253">
        <f>SUM(G30:G31)</f>
        <v>64002</v>
      </c>
      <c r="H32" s="253">
        <f>SUM(H30:H31)</f>
        <v>218602.33999999997</v>
      </c>
      <c r="I32" s="86"/>
      <c r="J32" s="160"/>
      <c r="K32" s="280"/>
      <c r="L32" s="160"/>
      <c r="M32" s="160"/>
      <c r="N32" s="172"/>
      <c r="O32" s="267">
        <v>1.193</v>
      </c>
      <c r="P32" s="200">
        <f>L13</f>
        <v>46500</v>
      </c>
      <c r="Q32" s="281">
        <v>0</v>
      </c>
      <c r="R32" s="282">
        <f>O32*P32</f>
        <v>55474.5</v>
      </c>
      <c r="S32" s="283">
        <f>ROUND(P32*0.423+50,-2)</f>
        <v>19700</v>
      </c>
      <c r="T32" s="160"/>
      <c r="U32" s="270" t="s">
        <v>143</v>
      </c>
      <c r="V32" s="271"/>
      <c r="W32" s="272"/>
      <c r="X32" s="273"/>
      <c r="Y32" s="274"/>
      <c r="Z32" s="279">
        <f>SUM(X32:Y32)</f>
        <v>0</v>
      </c>
      <c r="AA32" s="161"/>
      <c r="AB32" s="161"/>
      <c r="AC32" s="160"/>
      <c r="AD32" s="160"/>
      <c r="AE32" s="160"/>
      <c r="AF32" s="160"/>
      <c r="AG32" s="88"/>
    </row>
    <row r="33" spans="1:33" ht="12.75">
      <c r="A33" s="117" t="s">
        <v>146</v>
      </c>
      <c r="B33" s="136"/>
      <c r="C33" s="221"/>
      <c r="D33" s="515">
        <f>IF(H27=0,0,Blad1!H8)</f>
        <v>0</v>
      </c>
      <c r="E33" s="395">
        <f>Blad1!F20</f>
        <v>0</v>
      </c>
      <c r="F33" s="288">
        <f>C24*E33</f>
        <v>0</v>
      </c>
      <c r="G33" s="223">
        <f>D24*E33</f>
        <v>0</v>
      </c>
      <c r="H33" s="223">
        <f>SUM(F33:G33)</f>
        <v>0</v>
      </c>
      <c r="I33" s="86"/>
      <c r="J33" s="160" t="s">
        <v>12</v>
      </c>
      <c r="K33" s="160"/>
      <c r="L33" s="160"/>
      <c r="M33" s="160"/>
      <c r="N33" s="172"/>
      <c r="O33" s="267">
        <v>2.7158</v>
      </c>
      <c r="P33" s="200">
        <f>P32</f>
        <v>46500</v>
      </c>
      <c r="Q33" s="281">
        <f>O33*P33</f>
        <v>126284.70000000001</v>
      </c>
      <c r="R33" s="282">
        <f>P33*3.122</f>
        <v>145173</v>
      </c>
      <c r="S33" s="283">
        <f>ROUND(0.771*P33,-2)</f>
        <v>35900</v>
      </c>
      <c r="T33" s="160"/>
      <c r="U33" s="270" t="s">
        <v>119</v>
      </c>
      <c r="V33" s="271"/>
      <c r="W33" s="272"/>
      <c r="X33" s="273">
        <f>X31-X32</f>
        <v>720000</v>
      </c>
      <c r="Y33" s="273">
        <f>Y31-Y32</f>
        <v>0</v>
      </c>
      <c r="Z33" s="279">
        <f>SUM(X33:Y33)</f>
        <v>720000</v>
      </c>
      <c r="AA33" s="161"/>
      <c r="AB33" s="161"/>
      <c r="AC33" s="160"/>
      <c r="AD33" s="160"/>
      <c r="AE33" s="160"/>
      <c r="AF33" s="160"/>
      <c r="AG33" s="88"/>
    </row>
    <row r="34" spans="1:33" ht="13.5" thickBot="1">
      <c r="A34" s="476" t="s">
        <v>356</v>
      </c>
      <c r="B34" s="507"/>
      <c r="C34" s="507"/>
      <c r="D34" s="520">
        <f>IF(H27=0,0,H26/H27)</f>
        <v>0</v>
      </c>
      <c r="E34" s="491">
        <f>H26</f>
        <v>0</v>
      </c>
      <c r="F34" s="508"/>
      <c r="G34" s="509"/>
      <c r="H34" s="490"/>
      <c r="I34" s="86"/>
      <c r="J34" s="172"/>
      <c r="K34" s="160"/>
      <c r="L34" s="160"/>
      <c r="M34" s="160"/>
      <c r="N34" s="172"/>
      <c r="O34" s="267"/>
      <c r="P34" s="200">
        <f>P33</f>
        <v>46500</v>
      </c>
      <c r="Q34" s="281"/>
      <c r="R34" s="282">
        <f>R33</f>
        <v>145173</v>
      </c>
      <c r="S34" s="283">
        <f>S33</f>
        <v>35900</v>
      </c>
      <c r="T34" s="160"/>
      <c r="U34" s="270" t="s">
        <v>145</v>
      </c>
      <c r="V34" s="271"/>
      <c r="W34" s="287"/>
      <c r="X34" s="273">
        <f>E11</f>
        <v>0</v>
      </c>
      <c r="Y34" s="278">
        <f>E13</f>
        <v>0</v>
      </c>
      <c r="Z34" s="279">
        <f>SUM(X34:Y34)</f>
        <v>0</v>
      </c>
      <c r="AA34" s="161"/>
      <c r="AB34" s="161"/>
      <c r="AC34" s="160"/>
      <c r="AD34" s="160"/>
      <c r="AE34" s="160"/>
      <c r="AF34" s="160"/>
      <c r="AG34" s="88"/>
    </row>
    <row r="35" spans="1:33" ht="13.5" thickBot="1">
      <c r="A35" s="485" t="s">
        <v>371</v>
      </c>
      <c r="B35" s="301"/>
      <c r="C35" s="110"/>
      <c r="D35" s="515">
        <f>IF(H27=0,0,(H24)/H27)</f>
        <v>0.15096442121461356</v>
      </c>
      <c r="E35" s="86">
        <f>H24</f>
        <v>569000</v>
      </c>
      <c r="F35" s="483"/>
      <c r="G35" s="484"/>
      <c r="H35" s="491"/>
      <c r="I35" s="86"/>
      <c r="J35" s="172"/>
      <c r="K35" s="266"/>
      <c r="L35" s="160"/>
      <c r="M35" s="160"/>
      <c r="N35" s="172"/>
      <c r="O35" s="267">
        <v>7.462</v>
      </c>
      <c r="P35" s="200">
        <f>P34</f>
        <v>46500</v>
      </c>
      <c r="Q35" s="281"/>
      <c r="R35" s="282">
        <f>ROUND(O35*P35,-2)</f>
        <v>347000</v>
      </c>
      <c r="S35" s="283"/>
      <c r="T35" s="160"/>
      <c r="U35" s="270"/>
      <c r="V35" s="271"/>
      <c r="W35" s="289"/>
      <c r="X35" s="272"/>
      <c r="Y35" s="278"/>
      <c r="Z35" s="279"/>
      <c r="AA35" s="161"/>
      <c r="AB35" s="161"/>
      <c r="AC35" s="160"/>
      <c r="AD35" s="160"/>
      <c r="AE35" s="160"/>
      <c r="AF35" s="160"/>
      <c r="AG35" s="88"/>
    </row>
    <row r="36" spans="1:33" ht="12.75">
      <c r="A36" s="483" t="s">
        <v>151</v>
      </c>
      <c r="B36" s="484"/>
      <c r="C36" s="507"/>
      <c r="D36" s="510"/>
      <c r="E36" s="482">
        <f>SUM(E32:E35)</f>
        <v>3769100</v>
      </c>
      <c r="F36" s="482">
        <f>SUM(F32:F33)</f>
        <v>154600.34</v>
      </c>
      <c r="G36" s="482">
        <f>SUM(G32:G33)</f>
        <v>64002</v>
      </c>
      <c r="H36" s="482">
        <f>SUM(H32:H33)</f>
        <v>218602.33999999997</v>
      </c>
      <c r="I36" s="86"/>
      <c r="J36" s="172"/>
      <c r="K36" s="160"/>
      <c r="L36" s="160"/>
      <c r="M36" s="160"/>
      <c r="N36" s="172"/>
      <c r="O36" s="267"/>
      <c r="P36" s="200">
        <f>P35</f>
        <v>46500</v>
      </c>
      <c r="Q36" s="281">
        <f>R33</f>
        <v>145173</v>
      </c>
      <c r="R36" s="282">
        <f>R35</f>
        <v>347000</v>
      </c>
      <c r="S36" s="283">
        <f>S37</f>
        <v>12100</v>
      </c>
      <c r="T36" s="160"/>
      <c r="U36" s="270" t="s">
        <v>123</v>
      </c>
      <c r="V36" s="271"/>
      <c r="W36" s="290"/>
      <c r="X36" s="273">
        <f>-V23</f>
        <v>-13700</v>
      </c>
      <c r="Y36" s="278">
        <f>-W23</f>
        <v>-19700</v>
      </c>
      <c r="Z36" s="279">
        <f aca="true" t="shared" si="0" ref="Z36:Z44">SUM(X36:Y36)</f>
        <v>-33400</v>
      </c>
      <c r="AA36" s="161"/>
      <c r="AB36" s="161"/>
      <c r="AC36" s="160"/>
      <c r="AD36" s="160"/>
      <c r="AE36" s="160"/>
      <c r="AF36" s="160"/>
      <c r="AG36" s="88"/>
    </row>
    <row r="37" spans="1:37" ht="12.75">
      <c r="A37" s="527">
        <f>IF(H37=0,"","Om totala lån överstiger 4,5 x bruttoinkomsten tillkommer 1% amort.")</f>
      </c>
      <c r="H37" s="482">
        <f>AK37</f>
        <v>0</v>
      </c>
      <c r="I37" s="157"/>
      <c r="J37" s="172"/>
      <c r="K37" s="293" t="s">
        <v>128</v>
      </c>
      <c r="L37" s="160"/>
      <c r="M37" s="160"/>
      <c r="N37" s="172"/>
      <c r="O37" s="267"/>
      <c r="P37" s="200">
        <f>P36</f>
        <v>46500</v>
      </c>
      <c r="Q37" s="142" t="s">
        <v>147</v>
      </c>
      <c r="R37" s="294">
        <f>R35</f>
        <v>347000</v>
      </c>
      <c r="S37" s="205">
        <v>12100</v>
      </c>
      <c r="T37" s="160"/>
      <c r="U37" s="270" t="s">
        <v>148</v>
      </c>
      <c r="V37" s="271"/>
      <c r="W37" s="272"/>
      <c r="X37" s="273">
        <f>SUM(X33:X36)</f>
        <v>706300</v>
      </c>
      <c r="Y37" s="273">
        <f>SUM(Y33:Y36)</f>
        <v>-19700</v>
      </c>
      <c r="Z37" s="279">
        <f t="shared" si="0"/>
        <v>686600</v>
      </c>
      <c r="AA37" s="161"/>
      <c r="AB37" s="295" t="s">
        <v>149</v>
      </c>
      <c r="AC37" s="463"/>
      <c r="AD37" s="464"/>
      <c r="AE37" s="343" t="s">
        <v>116</v>
      </c>
      <c r="AF37" s="296" t="s">
        <v>150</v>
      </c>
      <c r="AG37" s="88"/>
      <c r="AK37" s="1">
        <f>IF((D11+D13)*4.5&lt;(E32+E33),(E32+E33)*0.01,0)</f>
        <v>0</v>
      </c>
    </row>
    <row r="38" spans="1:33" ht="15">
      <c r="A38" s="501">
        <f>IF(H27=0,0,IF((E35+E34)/H27&lt;0.1,"OBS! Kontantinsatsen är under 10% och bör höjas",""))</f>
      </c>
      <c r="E38" s="388"/>
      <c r="I38" s="86"/>
      <c r="J38" s="172"/>
      <c r="K38" s="273">
        <f>H27</f>
        <v>3769100</v>
      </c>
      <c r="L38" s="160"/>
      <c r="M38" s="160"/>
      <c r="N38" s="172"/>
      <c r="O38" s="298"/>
      <c r="P38" s="159"/>
      <c r="Q38" s="159"/>
      <c r="R38" s="299"/>
      <c r="S38" s="299"/>
      <c r="T38" s="160"/>
      <c r="U38" s="270"/>
      <c r="V38" s="271"/>
      <c r="W38" s="272"/>
      <c r="X38" s="273"/>
      <c r="Y38" s="274"/>
      <c r="Z38" s="279">
        <f t="shared" si="0"/>
        <v>0</v>
      </c>
      <c r="AA38" s="161"/>
      <c r="AB38" s="460">
        <f>AD38*$AF$45</f>
        <v>42315</v>
      </c>
      <c r="AC38" s="463" t="s">
        <v>152</v>
      </c>
      <c r="AD38" s="464">
        <v>0.91</v>
      </c>
      <c r="AE38" s="343">
        <f>(V22-V23)*($A$18-1.2)/100</f>
        <v>224603.4</v>
      </c>
      <c r="AF38" s="193">
        <f>(W22-W23)*($A$18-1.2)/100</f>
        <v>-6264.6</v>
      </c>
      <c r="AG38" s="88"/>
    </row>
    <row r="39" spans="1:33" ht="12.75">
      <c r="A39" s="88" t="s">
        <v>12</v>
      </c>
      <c r="B39" s="88"/>
      <c r="C39"/>
      <c r="D39" s="300"/>
      <c r="E39" s="88"/>
      <c r="F39" s="88"/>
      <c r="G39" s="301"/>
      <c r="H39" s="86"/>
      <c r="I39" s="86"/>
      <c r="J39" s="172"/>
      <c r="K39" s="293" t="s">
        <v>153</v>
      </c>
      <c r="L39" s="160"/>
      <c r="M39" s="160"/>
      <c r="N39" s="172"/>
      <c r="O39" s="298"/>
      <c r="P39" s="298"/>
      <c r="Q39" s="298"/>
      <c r="R39" s="302"/>
      <c r="S39" s="302"/>
      <c r="T39" s="160"/>
      <c r="U39" s="270" t="s">
        <v>154</v>
      </c>
      <c r="V39" s="271"/>
      <c r="W39" s="272"/>
      <c r="X39" s="273">
        <f>IF(X37&lt;-8750,0,X37*A18/100)</f>
        <v>233079</v>
      </c>
      <c r="Y39" s="273">
        <f>IF(Y37&lt;-8650,0,Y37*A18/100)</f>
        <v>0</v>
      </c>
      <c r="Z39" s="279">
        <f t="shared" si="0"/>
        <v>233079</v>
      </c>
      <c r="AA39" s="161"/>
      <c r="AB39" s="460">
        <f>AD39*$AF$45</f>
        <v>136710</v>
      </c>
      <c r="AC39" s="465" t="s">
        <v>335</v>
      </c>
      <c r="AD39" s="464">
        <v>2.94</v>
      </c>
      <c r="AE39" s="343">
        <f>((0.91*AF45+0.332*(V22-0.91*AF45)-V23)*(A18-1.2)/100)</f>
        <v>80646.84156000002</v>
      </c>
      <c r="AF39" s="193">
        <f>((0.91*AF45+0.332*(W22-0.91*AF45)-W23)*(A18-1.2)/100)</f>
        <v>2724.1215599999996</v>
      </c>
      <c r="AG39" s="88"/>
    </row>
    <row r="40" spans="1:33" ht="12.75">
      <c r="A40" s="88"/>
      <c r="D40"/>
      <c r="F40" s="88"/>
      <c r="G40" s="303" t="s">
        <v>155</v>
      </c>
      <c r="H40" s="152">
        <f>H36+H37</f>
        <v>218602.33999999997</v>
      </c>
      <c r="I40" s="86"/>
      <c r="J40" s="160"/>
      <c r="K40" s="273">
        <f>H23*0.9</f>
        <v>3392190</v>
      </c>
      <c r="L40" s="160"/>
      <c r="M40" s="160"/>
      <c r="N40" s="172"/>
      <c r="O40" s="298"/>
      <c r="P40" s="159"/>
      <c r="Q40" s="159"/>
      <c r="R40" s="299"/>
      <c r="S40" s="299"/>
      <c r="T40" s="160"/>
      <c r="U40" s="270" t="s">
        <v>156</v>
      </c>
      <c r="V40" s="271"/>
      <c r="W40" s="272"/>
      <c r="X40" s="273">
        <f>IF(X37&lt;L15,0,(X37-L15)*L16/100)</f>
        <v>43120</v>
      </c>
      <c r="Y40" s="273">
        <f>IF(Y37&lt;L15,0,(Y37-L15)*L16/100)</f>
        <v>0</v>
      </c>
      <c r="Z40" s="279">
        <f t="shared" si="0"/>
        <v>43120</v>
      </c>
      <c r="AA40" s="161"/>
      <c r="AB40" s="460">
        <f>AD40*$AF$45</f>
        <v>375720</v>
      </c>
      <c r="AC40" s="465" t="s">
        <v>336</v>
      </c>
      <c r="AD40" s="464">
        <v>8.08</v>
      </c>
      <c r="AE40" s="343">
        <f>(1.584*AF45+0.111*(V22-2.94*AF45)-V23)*($A$18-1.2)/100</f>
        <v>39654.97842</v>
      </c>
      <c r="AF40" s="193">
        <f>(1.584*AF45+0.111*(W22-2.94*AF45)-W23)*($A$18-1.2)/100</f>
        <v>12332.418420000002</v>
      </c>
      <c r="AG40" s="88"/>
    </row>
    <row r="41" spans="1:33" ht="12.75">
      <c r="A41" s="304" t="s">
        <v>157</v>
      </c>
      <c r="B41" s="88"/>
      <c r="D41"/>
      <c r="E41" s="88"/>
      <c r="F41" s="88"/>
      <c r="G41" s="117" t="s">
        <v>158</v>
      </c>
      <c r="H41" s="528">
        <v>26000</v>
      </c>
      <c r="I41" s="86"/>
      <c r="J41" s="160"/>
      <c r="K41" s="305"/>
      <c r="L41" s="160" t="s">
        <v>159</v>
      </c>
      <c r="M41" s="160"/>
      <c r="N41" s="172"/>
      <c r="O41" s="298"/>
      <c r="P41" s="298"/>
      <c r="Q41" s="298"/>
      <c r="R41" s="302"/>
      <c r="S41" s="302"/>
      <c r="T41" s="160"/>
      <c r="U41" s="270" t="s">
        <v>160</v>
      </c>
      <c r="V41" s="271"/>
      <c r="W41" s="272">
        <f>L19</f>
        <v>689300</v>
      </c>
      <c r="X41" s="273">
        <f>IF(X37&lt;L19,0,(X37-L19)*L18/100)</f>
        <v>850</v>
      </c>
      <c r="Y41" s="273">
        <f>IF(Y37&lt;L19,0,(Y37-L19)*L18/100)</f>
        <v>0</v>
      </c>
      <c r="Z41" s="279">
        <f t="shared" si="0"/>
        <v>850</v>
      </c>
      <c r="AA41" s="161"/>
      <c r="AB41" s="460">
        <f>AD41*$AF$45</f>
        <v>629610</v>
      </c>
      <c r="AC41" s="465" t="s">
        <v>344</v>
      </c>
      <c r="AD41" s="464">
        <v>13.54</v>
      </c>
      <c r="AE41" s="461">
        <f>(2.155*AF45-V23)*($A$18-1.2)/100</f>
        <v>27509.384999999995</v>
      </c>
      <c r="AF41" s="457">
        <f>(2.155*AF45-W23)*($A$18-1.2)/100</f>
        <v>25601.384999999995</v>
      </c>
      <c r="AG41" s="88"/>
    </row>
    <row r="42" spans="1:33" ht="13.5" thickBot="1">
      <c r="A42" s="306" t="s">
        <v>161</v>
      </c>
      <c r="B42" s="144">
        <v>0</v>
      </c>
      <c r="D42" s="15" t="s">
        <v>162</v>
      </c>
      <c r="E42" s="307">
        <v>0</v>
      </c>
      <c r="F42" s="308"/>
      <c r="G42" s="303" t="s">
        <v>163</v>
      </c>
      <c r="H42" s="223">
        <f>B42*E42/100</f>
        <v>0</v>
      </c>
      <c r="I42" s="86"/>
      <c r="J42" s="160"/>
      <c r="K42" s="305" t="s">
        <v>164</v>
      </c>
      <c r="L42" s="160" t="s">
        <v>165</v>
      </c>
      <c r="M42" s="160"/>
      <c r="N42" s="172"/>
      <c r="O42" s="298"/>
      <c r="P42" s="298"/>
      <c r="Q42" s="298"/>
      <c r="R42" s="302"/>
      <c r="S42" s="302"/>
      <c r="T42" s="160"/>
      <c r="U42" s="309" t="s">
        <v>166</v>
      </c>
      <c r="V42" s="310"/>
      <c r="W42" s="287"/>
      <c r="X42" s="311">
        <f>L21</f>
        <v>36400</v>
      </c>
      <c r="Y42" s="312">
        <f>L22</f>
        <v>0</v>
      </c>
      <c r="Z42" s="313">
        <f t="shared" si="0"/>
        <v>36400</v>
      </c>
      <c r="AA42" s="161"/>
      <c r="AB42" s="460">
        <f>AD42*$AF$45</f>
        <v>629610</v>
      </c>
      <c r="AC42" s="458" t="s">
        <v>345</v>
      </c>
      <c r="AD42" s="464">
        <v>13.54</v>
      </c>
      <c r="AE42" s="462">
        <f>IF(D11&gt;AE29,0,(2.155*AF45-V23)*(A18-1.2)/100-(D11-13.54*AF45)*0.03)</f>
        <v>24797.684999999994</v>
      </c>
      <c r="AF42" s="459">
        <f>IF(D13&gt;AE29,0,(2.155*AF45-W23)*(A18-1.2)/100-(D13-13.54*AF45)*0.03)</f>
        <v>44489.685</v>
      </c>
      <c r="AG42" s="88"/>
    </row>
    <row r="43" spans="1:33" ht="13.5" thickBot="1">
      <c r="A43" s="112"/>
      <c r="B43" s="112"/>
      <c r="D43"/>
      <c r="E43" s="112"/>
      <c r="F43" s="88"/>
      <c r="G43" s="117" t="s">
        <v>167</v>
      </c>
      <c r="H43" s="223">
        <f>'Kalkyl-Drift'!I34</f>
        <v>0</v>
      </c>
      <c r="I43" s="86"/>
      <c r="J43" s="160"/>
      <c r="K43" s="273"/>
      <c r="L43" s="160"/>
      <c r="M43" s="160"/>
      <c r="N43" s="172"/>
      <c r="O43" s="298"/>
      <c r="P43" s="298"/>
      <c r="Q43" s="298"/>
      <c r="R43" s="302"/>
      <c r="S43" s="302"/>
      <c r="T43" s="160"/>
      <c r="U43" s="314" t="s">
        <v>168</v>
      </c>
      <c r="V43" s="315"/>
      <c r="W43" s="316">
        <v>1</v>
      </c>
      <c r="X43" s="317">
        <f>-TRUNC(X42*W43,-2)</f>
        <v>-36400</v>
      </c>
      <c r="Y43" s="317">
        <f>-TRUNC(Y42*W43,-2)</f>
        <v>0</v>
      </c>
      <c r="Z43" s="274">
        <f t="shared" si="0"/>
        <v>-36400</v>
      </c>
      <c r="AA43" s="161"/>
      <c r="AB43" s="182"/>
      <c r="AC43" s="182"/>
      <c r="AD43" s="182"/>
      <c r="AE43" s="182"/>
      <c r="AF43" s="182"/>
      <c r="AG43" s="88"/>
    </row>
    <row r="44" spans="1:33" ht="12.75">
      <c r="A44" s="318" t="s">
        <v>12</v>
      </c>
      <c r="B44" s="112"/>
      <c r="D44"/>
      <c r="E44" s="112"/>
      <c r="F44" s="88"/>
      <c r="G44" s="117" t="s">
        <v>169</v>
      </c>
      <c r="H44" s="223">
        <f>H40+H41+H42+H43</f>
        <v>244602.33999999997</v>
      </c>
      <c r="I44" s="86"/>
      <c r="J44" s="160"/>
      <c r="K44" s="293"/>
      <c r="L44" s="160"/>
      <c r="M44" s="160"/>
      <c r="N44" s="172"/>
      <c r="O44" s="298"/>
      <c r="P44" s="298"/>
      <c r="Q44" s="319"/>
      <c r="R44" s="299"/>
      <c r="S44" s="159"/>
      <c r="T44" s="160"/>
      <c r="U44" s="273" t="s">
        <v>170</v>
      </c>
      <c r="V44" s="315"/>
      <c r="W44" s="317"/>
      <c r="X44" s="278">
        <f>-AB48</f>
        <v>-24797.684999999994</v>
      </c>
      <c r="Y44" s="278">
        <f>-AC48</f>
        <v>0</v>
      </c>
      <c r="Z44" s="278">
        <f t="shared" si="0"/>
        <v>-24797.684999999994</v>
      </c>
      <c r="AA44" s="161"/>
      <c r="AB44" s="296" t="s">
        <v>171</v>
      </c>
      <c r="AC44" s="320"/>
      <c r="AD44" s="320"/>
      <c r="AE44" s="321" t="s">
        <v>172</v>
      </c>
      <c r="AF44" s="322" t="s">
        <v>173</v>
      </c>
      <c r="AG44" s="88"/>
    </row>
    <row r="45" spans="1:33" ht="12.75">
      <c r="A45" s="112"/>
      <c r="B45" s="112"/>
      <c r="D45"/>
      <c r="E45" s="112"/>
      <c r="F45" s="88"/>
      <c r="G45" s="117" t="s">
        <v>174</v>
      </c>
      <c r="H45" s="223">
        <f>ROUND((F36+H42)*0.3,0)</f>
        <v>46380</v>
      </c>
      <c r="I45" s="86"/>
      <c r="J45" s="160"/>
      <c r="K45" s="323"/>
      <c r="L45" s="160"/>
      <c r="M45" s="324" t="s">
        <v>175</v>
      </c>
      <c r="N45" s="172"/>
      <c r="O45" s="172"/>
      <c r="P45" s="172"/>
      <c r="Q45" s="160"/>
      <c r="R45" s="160"/>
      <c r="S45" s="160"/>
      <c r="T45" s="160"/>
      <c r="U45" s="325" t="s">
        <v>176</v>
      </c>
      <c r="V45" s="326"/>
      <c r="W45" s="327"/>
      <c r="X45" s="328">
        <f>SUM(X39:X44)</f>
        <v>252251.315</v>
      </c>
      <c r="Y45" s="328">
        <f>SUM(Y39:Y44)</f>
        <v>0</v>
      </c>
      <c r="Z45" s="328">
        <f>SUM(Z39:Z44)</f>
        <v>252251.315</v>
      </c>
      <c r="AA45" s="161"/>
      <c r="AB45" s="329" t="s">
        <v>81</v>
      </c>
      <c r="AC45" s="330"/>
      <c r="AD45" s="331"/>
      <c r="AE45" s="512">
        <f>X9</f>
        <v>2023</v>
      </c>
      <c r="AF45" s="513">
        <f>W11</f>
        <v>46500</v>
      </c>
      <c r="AG45" s="88"/>
    </row>
    <row r="46" spans="1:33" ht="12.75">
      <c r="A46" s="112"/>
      <c r="B46" s="112"/>
      <c r="D46"/>
      <c r="E46" s="112"/>
      <c r="F46" s="88"/>
      <c r="G46" s="249" t="s">
        <v>177</v>
      </c>
      <c r="H46" s="152">
        <f>H44-H45</f>
        <v>198222.33999999997</v>
      </c>
      <c r="I46" s="86"/>
      <c r="J46" s="160"/>
      <c r="K46" s="323" t="s">
        <v>178</v>
      </c>
      <c r="L46" s="160"/>
      <c r="M46" s="332" t="s">
        <v>179</v>
      </c>
      <c r="N46" s="333"/>
      <c r="O46" s="334">
        <f>D11</f>
        <v>720000</v>
      </c>
      <c r="P46" s="172"/>
      <c r="Q46" s="335" t="s">
        <v>180</v>
      </c>
      <c r="R46" s="336"/>
      <c r="S46" s="337"/>
      <c r="T46" s="160"/>
      <c r="U46" s="338" t="s">
        <v>181</v>
      </c>
      <c r="V46" s="339"/>
      <c r="W46" s="339"/>
      <c r="X46" s="340">
        <f>X31-X45</f>
        <v>467748.685</v>
      </c>
      <c r="Y46" s="341">
        <f>Y31-Y45</f>
        <v>0</v>
      </c>
      <c r="Z46" s="342">
        <f>SUM(X46:Y46)</f>
        <v>467748.685</v>
      </c>
      <c r="AA46" s="161"/>
      <c r="AB46" s="296" t="s">
        <v>182</v>
      </c>
      <c r="AC46" s="320"/>
      <c r="AD46" s="343"/>
      <c r="AE46" s="160"/>
      <c r="AF46" s="160"/>
      <c r="AG46" s="88"/>
    </row>
    <row r="47" spans="1:33" ht="12.75">
      <c r="A47" s="88"/>
      <c r="B47" s="88"/>
      <c r="D47"/>
      <c r="E47" s="88"/>
      <c r="F47" s="88"/>
      <c r="G47" s="88"/>
      <c r="H47" s="88"/>
      <c r="I47" s="88"/>
      <c r="J47" s="160"/>
      <c r="K47" s="273" t="e">
        <f>K16+K17</f>
        <v>#VALUE!</v>
      </c>
      <c r="L47" s="160"/>
      <c r="M47" s="344" t="s">
        <v>183</v>
      </c>
      <c r="N47" s="345"/>
      <c r="O47" s="346">
        <v>135000</v>
      </c>
      <c r="P47" s="172"/>
      <c r="Q47" s="347"/>
      <c r="R47" s="273" t="s">
        <v>184</v>
      </c>
      <c r="S47" s="348" t="s">
        <v>185</v>
      </c>
      <c r="T47" s="160"/>
      <c r="AA47" s="161"/>
      <c r="AB47" s="321" t="s">
        <v>116</v>
      </c>
      <c r="AC47" s="321" t="s">
        <v>85</v>
      </c>
      <c r="AD47" s="160"/>
      <c r="AE47" s="160"/>
      <c r="AF47" s="160"/>
      <c r="AG47" s="88"/>
    </row>
    <row r="48" spans="2:33" ht="12.75">
      <c r="B48" s="349" t="s">
        <v>186</v>
      </c>
      <c r="C48" s="349"/>
      <c r="D48"/>
      <c r="F48" s="349"/>
      <c r="G48" s="349" t="s">
        <v>187</v>
      </c>
      <c r="H48" s="223">
        <f>ROUND(H44/12,0)</f>
        <v>20384</v>
      </c>
      <c r="I48" s="86"/>
      <c r="J48" s="160"/>
      <c r="K48" s="293" t="s">
        <v>188</v>
      </c>
      <c r="L48" s="160"/>
      <c r="M48" s="344" t="s">
        <v>189</v>
      </c>
      <c r="N48" s="345"/>
      <c r="O48" s="346">
        <v>1.2</v>
      </c>
      <c r="P48" s="172"/>
      <c r="Q48" s="347">
        <f>F11</f>
        <v>0</v>
      </c>
      <c r="R48" s="273">
        <f>Q48*1250</f>
        <v>0</v>
      </c>
      <c r="S48" s="350"/>
      <c r="T48" s="160"/>
      <c r="U48" s="273" t="s">
        <v>190</v>
      </c>
      <c r="V48" s="315"/>
      <c r="W48" s="317"/>
      <c r="X48" s="278">
        <f>SUM(X46:X47)</f>
        <v>467748.685</v>
      </c>
      <c r="Y48" s="278">
        <f>SUM(Y46:Y47)</f>
        <v>0</v>
      </c>
      <c r="Z48" s="278">
        <f>SUM(Z46:Z47)</f>
        <v>467748.685</v>
      </c>
      <c r="AA48" s="161"/>
      <c r="AB48" s="351">
        <f>IF(AND(V22&lt;AB39,V22&gt;AB38),AE39,IF(AND(V22&lt;AB40,V22&gt;AB39),AE40,IF(AND(V22&lt;AB41,V22&gt;AB40),AE41,IF(V22&gt;AB42,AE42))))</f>
        <v>24797.684999999994</v>
      </c>
      <c r="AC48" s="351" t="b">
        <f>IF(AND(W22&lt;AB39,W22&gt;AB38),AF39,IF(AND(W22&lt;AB40,W22&gt;AB39),AF40,IF(AND(W22&lt;AB41,W22&gt;AB40),AF41,IF(W22&gt;AB42,AF42))))</f>
        <v>0</v>
      </c>
      <c r="AD48" s="160"/>
      <c r="AE48" s="160"/>
      <c r="AF48" s="160"/>
      <c r="AG48" s="88"/>
    </row>
    <row r="49" spans="1:33" ht="18">
      <c r="A49" s="88"/>
      <c r="B49" s="88"/>
      <c r="D49"/>
      <c r="E49" s="88"/>
      <c r="F49" s="88"/>
      <c r="G49" s="352" t="s">
        <v>191</v>
      </c>
      <c r="H49" s="353">
        <f>ROUND(H46/12,0)</f>
        <v>16519</v>
      </c>
      <c r="I49" s="354"/>
      <c r="J49" s="160"/>
      <c r="K49" s="273">
        <f>IF(H25&lt;(K55-B18-IF(H18&lt;1,0,45000))*0.3,H25,(K55-B18-IF(H18&lt;1,0,45000))*0.3)</f>
        <v>0</v>
      </c>
      <c r="L49" s="172"/>
      <c r="M49" s="344" t="s">
        <v>192</v>
      </c>
      <c r="N49" s="345"/>
      <c r="O49" s="346">
        <v>1320</v>
      </c>
      <c r="P49" s="172"/>
      <c r="Q49" s="347" t="s">
        <v>193</v>
      </c>
      <c r="R49" s="273">
        <f>IF(Q48=2,150,0)</f>
        <v>0</v>
      </c>
      <c r="S49" s="350"/>
      <c r="T49" s="160"/>
      <c r="U49" s="355" t="s">
        <v>194</v>
      </c>
      <c r="V49" s="356"/>
      <c r="W49" s="290"/>
      <c r="X49" s="357"/>
      <c r="Y49" s="358"/>
      <c r="Z49" s="359">
        <f>-H46</f>
        <v>-198222.33999999997</v>
      </c>
      <c r="AA49" s="161"/>
      <c r="AB49" s="161"/>
      <c r="AC49" s="160"/>
      <c r="AD49" s="160"/>
      <c r="AE49" s="160"/>
      <c r="AF49" s="160"/>
      <c r="AG49" s="88"/>
    </row>
    <row r="50" spans="2:33" ht="12.75">
      <c r="B50" s="349" t="s">
        <v>195</v>
      </c>
      <c r="D50"/>
      <c r="E50" s="112"/>
      <c r="F50" s="112"/>
      <c r="G50" s="112"/>
      <c r="H50" s="360">
        <f>(G36+H37)/12</f>
        <v>5333.5</v>
      </c>
      <c r="I50" s="361"/>
      <c r="J50" s="160"/>
      <c r="K50" s="160"/>
      <c r="L50" s="160"/>
      <c r="M50" s="362" t="s">
        <v>196</v>
      </c>
      <c r="N50" s="363"/>
      <c r="O50" s="364">
        <f>IF(O46&lt;O47,O49,IF(O49-(O46-O47)*O48/100&gt;1,O49-(O46-O47)*O48/100,0))</f>
        <v>0</v>
      </c>
      <c r="P50" s="274">
        <f>IF(X31&lt;1,0,-O50)</f>
        <v>0</v>
      </c>
      <c r="Q50" s="347" t="s">
        <v>197</v>
      </c>
      <c r="R50" s="273">
        <f>IF(Q48=3,730,0)</f>
        <v>0</v>
      </c>
      <c r="S50" s="365"/>
      <c r="T50" s="160"/>
      <c r="U50" s="270" t="s">
        <v>198</v>
      </c>
      <c r="V50" s="271"/>
      <c r="W50" s="272"/>
      <c r="X50" s="274"/>
      <c r="Y50" s="274"/>
      <c r="Z50" s="275">
        <f>S54</f>
        <v>0</v>
      </c>
      <c r="AA50" s="161"/>
      <c r="AB50" s="161"/>
      <c r="AC50" s="160"/>
      <c r="AD50" s="160"/>
      <c r="AE50" s="160"/>
      <c r="AF50" s="160"/>
      <c r="AG50" s="88"/>
    </row>
    <row r="51" spans="2:33" ht="15.75">
      <c r="B51" s="166" t="s">
        <v>199</v>
      </c>
      <c r="D51"/>
      <c r="E51" s="166"/>
      <c r="F51" s="166"/>
      <c r="G51" s="88"/>
      <c r="H51" s="366">
        <f>Z53</f>
        <v>22460.52875</v>
      </c>
      <c r="I51" s="243"/>
      <c r="J51" s="160"/>
      <c r="K51" s="160" t="s">
        <v>200</v>
      </c>
      <c r="L51" s="160"/>
      <c r="M51" s="332" t="s">
        <v>201</v>
      </c>
      <c r="N51" s="333"/>
      <c r="O51" s="334">
        <f>D13</f>
        <v>0</v>
      </c>
      <c r="P51" s="172"/>
      <c r="Q51" s="367" t="s">
        <v>202</v>
      </c>
      <c r="R51" s="273">
        <f>IF(Q48=4,1740,0)</f>
        <v>0</v>
      </c>
      <c r="S51" s="365"/>
      <c r="T51" s="160"/>
      <c r="U51" s="368" t="s">
        <v>203</v>
      </c>
      <c r="V51" s="369"/>
      <c r="W51" s="369"/>
      <c r="X51" s="274"/>
      <c r="Y51" s="274"/>
      <c r="Z51" s="279">
        <f>F13</f>
        <v>0</v>
      </c>
      <c r="AA51" s="161"/>
      <c r="AB51" s="161"/>
      <c r="AC51" s="160"/>
      <c r="AD51" s="160"/>
      <c r="AE51" s="160"/>
      <c r="AF51" s="160"/>
      <c r="AG51" s="88"/>
    </row>
    <row r="52" spans="1:33" ht="12.75">
      <c r="A52" s="112"/>
      <c r="B52" s="112"/>
      <c r="C52" s="112"/>
      <c r="D52" s="112"/>
      <c r="E52" s="112"/>
      <c r="F52" s="112"/>
      <c r="G52" s="88"/>
      <c r="H52" s="88"/>
      <c r="I52" s="88"/>
      <c r="J52" s="160"/>
      <c r="K52" s="370">
        <f>K55</f>
        <v>0</v>
      </c>
      <c r="L52" s="160"/>
      <c r="M52" s="344" t="s">
        <v>183</v>
      </c>
      <c r="N52" s="345"/>
      <c r="O52" s="346">
        <v>135000</v>
      </c>
      <c r="P52" s="172"/>
      <c r="Q52" s="367" t="s">
        <v>204</v>
      </c>
      <c r="R52" s="273">
        <f>IF(Q48=5,2864,0)</f>
        <v>0</v>
      </c>
      <c r="S52" s="365"/>
      <c r="T52" s="161"/>
      <c r="U52" s="309" t="s">
        <v>205</v>
      </c>
      <c r="V52" s="310"/>
      <c r="W52" s="287"/>
      <c r="X52" s="311"/>
      <c r="Y52" s="371"/>
      <c r="Z52" s="313">
        <f>SUM(Z48:Z51)</f>
        <v>269526.34500000003</v>
      </c>
      <c r="AA52" s="161"/>
      <c r="AB52" s="161"/>
      <c r="AC52" s="160"/>
      <c r="AD52" s="160"/>
      <c r="AE52" s="160"/>
      <c r="AF52" s="160"/>
      <c r="AG52" s="88"/>
    </row>
    <row r="53" spans="1:33" ht="12.75">
      <c r="A53" s="15" t="s">
        <v>206</v>
      </c>
      <c r="B53" s="372" t="s">
        <v>207</v>
      </c>
      <c r="G53" s="88"/>
      <c r="H53" s="88"/>
      <c r="I53" s="88"/>
      <c r="J53" s="160"/>
      <c r="K53" s="160"/>
      <c r="L53" s="160"/>
      <c r="M53" s="344" t="s">
        <v>208</v>
      </c>
      <c r="N53" s="345"/>
      <c r="O53" s="346">
        <v>1.2</v>
      </c>
      <c r="P53" s="172"/>
      <c r="Q53" s="367" t="s">
        <v>209</v>
      </c>
      <c r="R53" s="373">
        <f>IF(Q48&gt;5,(2864+(Q48-5)*1250),0)</f>
        <v>0</v>
      </c>
      <c r="S53" s="365"/>
      <c r="T53" s="160"/>
      <c r="U53" s="338" t="s">
        <v>210</v>
      </c>
      <c r="V53" s="339"/>
      <c r="W53" s="341"/>
      <c r="X53" s="374"/>
      <c r="Y53" s="374"/>
      <c r="Z53" s="375">
        <f>IF(Z31=0,0,Z52/12)</f>
        <v>22460.52875</v>
      </c>
      <c r="AA53" s="161"/>
      <c r="AB53" s="161"/>
      <c r="AC53" s="160"/>
      <c r="AD53" s="160"/>
      <c r="AE53" s="160"/>
      <c r="AF53" s="160"/>
      <c r="AG53" s="88"/>
    </row>
    <row r="54" spans="1:33" ht="12.75">
      <c r="A54" s="112" t="s">
        <v>12</v>
      </c>
      <c r="B54" s="372" t="s">
        <v>211</v>
      </c>
      <c r="C54" s="112"/>
      <c r="D54" s="88"/>
      <c r="E54" s="88"/>
      <c r="F54" s="88"/>
      <c r="G54" s="88"/>
      <c r="I54" s="88"/>
      <c r="J54" s="160"/>
      <c r="K54" s="172"/>
      <c r="L54" s="172"/>
      <c r="M54" s="344" t="s">
        <v>192</v>
      </c>
      <c r="N54" s="345"/>
      <c r="O54" s="346">
        <v>1320</v>
      </c>
      <c r="P54" s="172"/>
      <c r="Q54" s="376"/>
      <c r="R54" s="377">
        <f>SUM(R48:R53)</f>
        <v>0</v>
      </c>
      <c r="S54" s="378">
        <f>R54*12</f>
        <v>0</v>
      </c>
      <c r="T54" s="160"/>
      <c r="U54" s="161"/>
      <c r="V54" s="161"/>
      <c r="W54" s="161"/>
      <c r="X54" s="161"/>
      <c r="Y54" s="161"/>
      <c r="Z54" s="161"/>
      <c r="AA54" s="161"/>
      <c r="AB54" s="161"/>
      <c r="AC54" s="160"/>
      <c r="AD54" s="160"/>
      <c r="AE54" s="160"/>
      <c r="AF54" s="160"/>
      <c r="AG54" s="88"/>
    </row>
    <row r="55" spans="1:33" ht="12.75">
      <c r="A55" s="112"/>
      <c r="B55" s="28" t="s">
        <v>212</v>
      </c>
      <c r="C55" s="112"/>
      <c r="D55" s="88" t="s">
        <v>213</v>
      </c>
      <c r="E55" s="88"/>
      <c r="F55" s="88"/>
      <c r="I55" s="88"/>
      <c r="J55" s="160"/>
      <c r="K55" s="379"/>
      <c r="L55" s="172"/>
      <c r="M55" s="362" t="s">
        <v>214</v>
      </c>
      <c r="N55" s="363"/>
      <c r="O55" s="364">
        <f>IF(O51&lt;O52,O54,IF(O54-(O51-O52)*O53/100&gt;1,O54-(O51-O52)*O53/100,0))</f>
        <v>1320</v>
      </c>
      <c r="P55" s="274">
        <f>IF(Y31&lt;1,0,-O55)</f>
        <v>0</v>
      </c>
      <c r="Q55" s="172"/>
      <c r="R55" s="161"/>
      <c r="S55" s="161"/>
      <c r="T55" s="160"/>
      <c r="U55" s="160"/>
      <c r="V55" s="160"/>
      <c r="W55" s="160"/>
      <c r="X55" s="160"/>
      <c r="Y55" s="161"/>
      <c r="Z55" s="161"/>
      <c r="AA55" s="161"/>
      <c r="AB55" s="161"/>
      <c r="AC55" s="160"/>
      <c r="AD55" s="160"/>
      <c r="AE55" s="160"/>
      <c r="AF55" s="160"/>
      <c r="AG55" s="88" t="s">
        <v>372</v>
      </c>
    </row>
    <row r="56" spans="1:33" ht="12.75">
      <c r="A56" s="112"/>
      <c r="B56" s="466" t="s">
        <v>368</v>
      </c>
      <c r="C56" s="112"/>
      <c r="D56" s="88"/>
      <c r="E56" s="88"/>
      <c r="F56" s="88"/>
      <c r="G56" s="380"/>
      <c r="I56" s="88"/>
      <c r="J56" s="160"/>
      <c r="K56" s="172"/>
      <c r="L56" s="172"/>
      <c r="M56" s="172"/>
      <c r="N56" s="172"/>
      <c r="O56" s="172"/>
      <c r="P56" s="172"/>
      <c r="Q56" s="172"/>
      <c r="R56" s="161"/>
      <c r="S56" s="161"/>
      <c r="T56" s="161"/>
      <c r="U56" s="161"/>
      <c r="V56" s="161"/>
      <c r="W56" s="161"/>
      <c r="X56" s="161"/>
      <c r="Y56" s="161"/>
      <c r="Z56" s="161"/>
      <c r="AA56" s="160"/>
      <c r="AB56" s="160"/>
      <c r="AC56" s="160"/>
      <c r="AD56" s="160"/>
      <c r="AE56" s="160"/>
      <c r="AF56" s="160"/>
      <c r="AG56" s="88"/>
    </row>
    <row r="57" spans="2:33" ht="15">
      <c r="B57" s="519" t="s">
        <v>369</v>
      </c>
      <c r="J57" s="160"/>
      <c r="K57" s="172"/>
      <c r="L57" s="172"/>
      <c r="M57" s="172"/>
      <c r="N57" s="172"/>
      <c r="O57" s="172"/>
      <c r="P57" s="160"/>
      <c r="Q57" s="160"/>
      <c r="R57" s="160"/>
      <c r="S57" s="160"/>
      <c r="T57" s="161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88"/>
    </row>
    <row r="58" spans="2:33" ht="15">
      <c r="B58" s="420" t="s">
        <v>370</v>
      </c>
      <c r="J58" s="160"/>
      <c r="K58" s="172"/>
      <c r="L58" s="172"/>
      <c r="M58" s="172"/>
      <c r="N58" s="172"/>
      <c r="O58" s="172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88"/>
    </row>
    <row r="59" spans="1:33" ht="12.75">
      <c r="A59" s="381" t="str">
        <f>'Kalkyl-Total'!A56</f>
        <v>Rev. 2019-02-05 BP</v>
      </c>
      <c r="H59" s="382"/>
      <c r="I59" s="382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</row>
    <row r="60" spans="14:33" ht="12.75"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AB60" s="88"/>
      <c r="AC60" s="88"/>
      <c r="AD60" s="88"/>
      <c r="AE60" s="88"/>
      <c r="AF60" s="88"/>
      <c r="AG60" s="88"/>
    </row>
    <row r="61" spans="16:19" ht="12.75" hidden="1">
      <c r="P61" s="88"/>
      <c r="Q61" s="88"/>
      <c r="R61" s="88"/>
      <c r="S61" s="88"/>
    </row>
    <row r="62" spans="1:19" ht="12.75" hidden="1">
      <c r="A62" s="88"/>
      <c r="B62" s="88"/>
      <c r="C62" s="88"/>
      <c r="D62" s="88"/>
      <c r="E62" s="88"/>
      <c r="F62" s="88"/>
      <c r="G62" s="88"/>
      <c r="H62" s="1"/>
      <c r="P62" s="88"/>
      <c r="Q62" s="88"/>
      <c r="R62" s="88"/>
      <c r="S62" s="88"/>
    </row>
    <row r="63" spans="1:19" ht="12.75" hidden="1">
      <c r="A63" s="88"/>
      <c r="B63" s="88"/>
      <c r="C63" s="88"/>
      <c r="D63" s="88"/>
      <c r="E63" s="88"/>
      <c r="F63" s="88"/>
      <c r="H63" s="88"/>
      <c r="I63" s="88"/>
      <c r="P63" s="88"/>
      <c r="Q63" s="88"/>
      <c r="R63" s="88"/>
      <c r="S63" s="88"/>
    </row>
    <row r="64" spans="7:19" ht="12.75" hidden="1">
      <c r="G64" s="383" t="s">
        <v>5</v>
      </c>
      <c r="H64" s="384">
        <f ca="1">NOW()</f>
        <v>45020.574214120374</v>
      </c>
      <c r="I64" s="384"/>
      <c r="J64" s="88"/>
      <c r="P64" s="88"/>
      <c r="Q64" s="88"/>
      <c r="R64" s="88"/>
      <c r="S64" s="88"/>
    </row>
    <row r="65" spans="8:19" ht="12.75" hidden="1">
      <c r="H65"/>
      <c r="I65" s="108"/>
      <c r="J65" s="1"/>
      <c r="P65" s="88"/>
      <c r="Q65" s="88"/>
      <c r="R65" s="88"/>
      <c r="S65" s="88"/>
    </row>
    <row r="66" spans="8:19" ht="12.75" hidden="1">
      <c r="H66" s="1"/>
      <c r="J66" s="384"/>
      <c r="P66" s="88"/>
      <c r="Q66" s="88"/>
      <c r="R66" s="88"/>
      <c r="S66" s="88"/>
    </row>
    <row r="67" spans="8:19" ht="12.75" hidden="1">
      <c r="H67" s="1"/>
      <c r="J67" s="1"/>
      <c r="P67" s="88"/>
      <c r="Q67" s="88"/>
      <c r="R67" s="88"/>
      <c r="S67" s="88"/>
    </row>
    <row r="68" spans="8:19" ht="12.75" hidden="1">
      <c r="H68" s="1"/>
      <c r="J68" s="1"/>
      <c r="P68" s="88"/>
      <c r="Q68" s="88"/>
      <c r="R68" s="88"/>
      <c r="S68" s="88"/>
    </row>
    <row r="69" spans="7:19" ht="12.75" hidden="1">
      <c r="G69" s="88"/>
      <c r="H69" s="1"/>
      <c r="J69" s="1"/>
      <c r="P69" s="88"/>
      <c r="Q69" s="88"/>
      <c r="R69" s="88"/>
      <c r="S69" s="88"/>
    </row>
    <row r="70" spans="1:19" ht="18" hidden="1">
      <c r="A70" s="162" t="s">
        <v>215</v>
      </c>
      <c r="B70" s="88"/>
      <c r="C70" s="88"/>
      <c r="D70" s="88"/>
      <c r="E70" s="88"/>
      <c r="F70" s="88"/>
      <c r="G70" s="88"/>
      <c r="H70" s="88"/>
      <c r="I70" s="88"/>
      <c r="J70" s="1"/>
      <c r="P70" s="88"/>
      <c r="Q70" s="88"/>
      <c r="R70" s="88"/>
      <c r="S70" s="88"/>
    </row>
    <row r="71" spans="1:19" ht="12.75" hidden="1">
      <c r="A71" s="88"/>
      <c r="B71" s="88"/>
      <c r="C71" s="88"/>
      <c r="D71" s="88"/>
      <c r="E71" s="88"/>
      <c r="F71" s="88"/>
      <c r="H71" s="88"/>
      <c r="I71" s="88"/>
      <c r="J71" s="88"/>
      <c r="P71" s="88"/>
      <c r="Q71" s="88"/>
      <c r="R71" s="88"/>
      <c r="S71" s="88"/>
    </row>
    <row r="72" spans="1:10" ht="12.75" hidden="1">
      <c r="A72" s="306" t="s">
        <v>216</v>
      </c>
      <c r="B72" s="88">
        <f>A11</f>
        <v>0</v>
      </c>
      <c r="C72" s="88"/>
      <c r="D72" s="88" t="s">
        <v>217</v>
      </c>
      <c r="E72" s="88" t="str">
        <f>A16</f>
        <v>Månsabovägen 19</v>
      </c>
      <c r="F72" s="88"/>
      <c r="G72" s="306" t="s">
        <v>218</v>
      </c>
      <c r="H72" s="152">
        <f>D18</f>
        <v>2022</v>
      </c>
      <c r="I72" s="86"/>
      <c r="J72" s="88"/>
    </row>
    <row r="73" spans="1:10" ht="12.75" hidden="1">
      <c r="A73" s="306" t="s">
        <v>219</v>
      </c>
      <c r="B73" s="88">
        <f>A13</f>
        <v>0</v>
      </c>
      <c r="C73" s="88"/>
      <c r="D73" s="88" t="s">
        <v>220</v>
      </c>
      <c r="E73" s="88" t="str">
        <f>D16</f>
        <v>Vaggeryd</v>
      </c>
      <c r="F73" s="88"/>
      <c r="G73" s="306" t="s">
        <v>221</v>
      </c>
      <c r="H73" s="152">
        <f>E18</f>
        <v>2022</v>
      </c>
      <c r="I73" s="86"/>
      <c r="J73" s="88"/>
    </row>
    <row r="74" spans="1:10" ht="12.75" hidden="1">
      <c r="A74" s="306" t="s">
        <v>222</v>
      </c>
      <c r="B74" s="88" t="str">
        <f>G11</f>
        <v>Erica Bernardin           </v>
      </c>
      <c r="C74" s="88"/>
      <c r="D74" s="88"/>
      <c r="E74" s="88"/>
      <c r="F74" s="88"/>
      <c r="G74" s="301"/>
      <c r="H74" s="385"/>
      <c r="I74" s="385"/>
      <c r="J74" s="88"/>
    </row>
    <row r="75" spans="1:10" ht="12.75" hidden="1">
      <c r="A75" s="88"/>
      <c r="B75" s="88"/>
      <c r="C75" s="88"/>
      <c r="D75" s="88" t="s">
        <v>223</v>
      </c>
      <c r="E75" s="88"/>
      <c r="F75" s="386">
        <f>ROUND(0.75*H23,-4)</f>
        <v>2830000</v>
      </c>
      <c r="G75" s="301"/>
      <c r="H75" s="385"/>
      <c r="I75" s="385"/>
      <c r="J75" s="387"/>
    </row>
    <row r="76" spans="3:10" ht="12.75" hidden="1">
      <c r="C76" s="88"/>
      <c r="D76" s="88"/>
      <c r="E76" s="88"/>
      <c r="F76" s="88"/>
      <c r="G76" s="88"/>
      <c r="H76" s="88"/>
      <c r="I76" s="88"/>
      <c r="J76" s="387"/>
    </row>
    <row r="77" spans="1:10" ht="12.75" hidden="1">
      <c r="A77" s="15" t="s">
        <v>224</v>
      </c>
      <c r="B77" s="388" t="str">
        <f>F16</f>
        <v>Villa Fredriksdal</v>
      </c>
      <c r="C77" s="88"/>
      <c r="D77" s="88" t="s">
        <v>225</v>
      </c>
      <c r="E77" s="88"/>
      <c r="F77" s="88"/>
      <c r="G77" s="88"/>
      <c r="H77" s="88"/>
      <c r="I77" s="88"/>
      <c r="J77" s="88"/>
    </row>
    <row r="78" spans="1:10" ht="12.75" hidden="1">
      <c r="A78" s="15" t="s">
        <v>226</v>
      </c>
      <c r="B78" s="388">
        <f>F18</f>
        <v>0</v>
      </c>
      <c r="C78" s="88"/>
      <c r="D78" s="88" t="s">
        <v>227</v>
      </c>
      <c r="E78" s="88"/>
      <c r="F78" s="88"/>
      <c r="H78" s="88"/>
      <c r="I78" s="88"/>
      <c r="J78" s="88"/>
    </row>
    <row r="79" spans="1:10" ht="12.75" hidden="1">
      <c r="A79" s="15" t="s">
        <v>228</v>
      </c>
      <c r="B79" s="389" t="e">
        <f>H20/C18</f>
        <v>#VALUE!</v>
      </c>
      <c r="H79" s="1"/>
      <c r="J79" s="88"/>
    </row>
    <row r="80" spans="1:10" ht="12.75" hidden="1">
      <c r="A80" s="1" t="s">
        <v>229</v>
      </c>
      <c r="D80" s="1" t="s">
        <v>230</v>
      </c>
      <c r="H80" s="1"/>
      <c r="J80" s="1"/>
    </row>
    <row r="81" spans="7:10" ht="12.75" hidden="1">
      <c r="G81" s="88"/>
      <c r="H81" s="1"/>
      <c r="J81" s="1"/>
    </row>
    <row r="82" spans="1:10" ht="20.25" hidden="1">
      <c r="A82" s="390" t="s">
        <v>231</v>
      </c>
      <c r="B82" s="146"/>
      <c r="C82" s="146"/>
      <c r="D82" s="146"/>
      <c r="E82" s="88"/>
      <c r="F82" s="88"/>
      <c r="H82" s="88"/>
      <c r="I82" s="88"/>
      <c r="J82" s="1"/>
    </row>
    <row r="83" spans="8:10" ht="12.75" hidden="1">
      <c r="H83" s="1"/>
      <c r="J83" s="88"/>
    </row>
    <row r="84" spans="1:10" ht="12.75" hidden="1">
      <c r="A84" s="391"/>
      <c r="B84" s="392">
        <f>D18</f>
        <v>2022</v>
      </c>
      <c r="C84" s="392">
        <f>B84+1</f>
        <v>2023</v>
      </c>
      <c r="D84" s="392">
        <f>C84+1</f>
        <v>2024</v>
      </c>
      <c r="E84" s="392">
        <f>D84+1</f>
        <v>2025</v>
      </c>
      <c r="F84" s="392">
        <f>E84+1</f>
        <v>2026</v>
      </c>
      <c r="G84" s="393">
        <f>F84+1</f>
        <v>2027</v>
      </c>
      <c r="H84" s="394"/>
      <c r="I84" s="394"/>
      <c r="J84" s="1"/>
    </row>
    <row r="85" spans="1:10" ht="12.75" hidden="1">
      <c r="A85" s="210" t="s">
        <v>232</v>
      </c>
      <c r="B85" s="395">
        <f>G36</f>
        <v>64002</v>
      </c>
      <c r="C85" s="395">
        <f>B85</f>
        <v>64002</v>
      </c>
      <c r="D85" s="395">
        <f>C85</f>
        <v>64002</v>
      </c>
      <c r="E85" s="395">
        <f>D85</f>
        <v>64002</v>
      </c>
      <c r="F85" s="395">
        <f>E85</f>
        <v>64002</v>
      </c>
      <c r="G85" s="152">
        <f>F85</f>
        <v>64002</v>
      </c>
      <c r="H85" s="157"/>
      <c r="I85" s="157"/>
      <c r="J85" s="1"/>
    </row>
    <row r="86" spans="1:10" ht="12.75" hidden="1">
      <c r="A86" s="210" t="s">
        <v>233</v>
      </c>
      <c r="B86" s="395">
        <f>F36</f>
        <v>154600.34</v>
      </c>
      <c r="C86" s="395" t="e">
        <f>($E$30-$G$30)*$C$23/100+($E$31-$G$31)*#REF!/100+(#REF!-#REF!)*#REF!/100+(#REF!-#REF!)*$C$24/100+($E$32-$G$32)*$C$23/100+($E$35-$G$35)*#REF!/100+($E$33-$G$33)*$C$24/100</f>
        <v>#REF!</v>
      </c>
      <c r="D86" s="395" t="e">
        <f>($E$30-2*$G$30)*$C$23/100+($E$31-2*$G$31)*#REF!/100+(#REF!-2*#REF!)*#REF!/100+(#REF!-2*#REF!)*$C$24/100+($E$32-2*$G$32)*$C$23/100+($E$35-2*$G$35)*#REF!/100+($E$33-2*$G$33)*$C$24/100</f>
        <v>#REF!</v>
      </c>
      <c r="E86" s="395" t="e">
        <f>($E$30-3*$G$30)*$C$23/100+($E$31-3*$G$31)*#REF!/100+(#REF!-3*#REF!)*#REF!/100+(#REF!-3*#REF!)*$C$24/100+($E$32-3*$G$32)*$C$23/100+($E$35-3*$G$35)*#REF!/100+($E$33-3*$G$33)*$C$24/100</f>
        <v>#REF!</v>
      </c>
      <c r="F86" s="395" t="e">
        <f>($E$30-4*$G$30)*$C$23/100+($E$31-4*$G$31)*#REF!/100+(#REF!-4*#REF!)*#REF!/100+(#REF!-4*#REF!)*$C$24/100+($E$32-4*$G$32)*$C$23/100+($E$35-4*$G$35)*#REF!/100+($E$33-4*$G$33)*$C$24/100</f>
        <v>#REF!</v>
      </c>
      <c r="G86" s="395" t="e">
        <f>($E$30-5*$G$30)*$C$23/100+($E$31-5*$G$31)*#REF!/100+(#REF!-5*#REF!)*#REF!/100+(#REF!-5*#REF!)*$C$24/100+($E$32-5*$G$32)*$C$23/100+($E$35-5*$G$35)*#REF!/100+($E$33-5*$G$33)*$C$24/100</f>
        <v>#REF!</v>
      </c>
      <c r="H86" s="157"/>
      <c r="I86" s="157"/>
      <c r="J86" s="1"/>
    </row>
    <row r="87" spans="1:10" ht="12.75" hidden="1">
      <c r="A87" s="210"/>
      <c r="B87" s="395"/>
      <c r="C87" s="395"/>
      <c r="D87" s="395"/>
      <c r="E87" s="395"/>
      <c r="F87" s="395"/>
      <c r="G87" s="152"/>
      <c r="H87" s="157"/>
      <c r="I87" s="157"/>
      <c r="J87" s="1" t="s">
        <v>12</v>
      </c>
    </row>
    <row r="88" spans="1:14" ht="12.75" hidden="1">
      <c r="A88" s="210" t="s">
        <v>234</v>
      </c>
      <c r="B88" s="395">
        <f>H41</f>
        <v>26000</v>
      </c>
      <c r="C88" s="395">
        <f>B88*D97/100+B88</f>
        <v>27040</v>
      </c>
      <c r="D88" s="395">
        <f>(1+D97/100)*C88</f>
        <v>28121.600000000002</v>
      </c>
      <c r="E88" s="395">
        <f>(1+D97/100)*D88</f>
        <v>29246.464000000004</v>
      </c>
      <c r="F88" s="395">
        <f>(1+D97/100)*E88</f>
        <v>30416.322560000004</v>
      </c>
      <c r="G88" s="152">
        <f>(1+D97/100)*F88</f>
        <v>31632.975462400005</v>
      </c>
      <c r="H88" s="157"/>
      <c r="I88" s="157"/>
      <c r="J88" s="1"/>
      <c r="L88" s="112" t="s">
        <v>235</v>
      </c>
      <c r="M88" s="112" t="s">
        <v>236</v>
      </c>
      <c r="N88" s="387">
        <f>D96</f>
        <v>3</v>
      </c>
    </row>
    <row r="89" spans="1:14" ht="12.75" hidden="1">
      <c r="A89" s="210" t="s">
        <v>237</v>
      </c>
      <c r="B89" s="395">
        <v>0</v>
      </c>
      <c r="C89" s="395">
        <v>0</v>
      </c>
      <c r="D89" s="395">
        <v>0</v>
      </c>
      <c r="E89" s="395">
        <v>0</v>
      </c>
      <c r="F89" s="395">
        <v>0</v>
      </c>
      <c r="G89" s="396">
        <f>F75*0.5*0.015</f>
        <v>21225</v>
      </c>
      <c r="H89" s="157"/>
      <c r="I89" s="157"/>
      <c r="J89" s="1"/>
      <c r="N89" s="387"/>
    </row>
    <row r="90" spans="1:12" ht="12.75" hidden="1">
      <c r="A90" s="178" t="s">
        <v>238</v>
      </c>
      <c r="B90" s="395">
        <f aca="true" t="shared" si="1" ref="B90:G90">-(B86+B87)*0.3</f>
        <v>-46380.102</v>
      </c>
      <c r="C90" s="395" t="e">
        <f t="shared" si="1"/>
        <v>#REF!</v>
      </c>
      <c r="D90" s="395" t="e">
        <f t="shared" si="1"/>
        <v>#REF!</v>
      </c>
      <c r="E90" s="395" t="e">
        <f t="shared" si="1"/>
        <v>#REF!</v>
      </c>
      <c r="F90" s="395" t="e">
        <f t="shared" si="1"/>
        <v>#REF!</v>
      </c>
      <c r="G90" s="152" t="e">
        <f t="shared" si="1"/>
        <v>#REF!</v>
      </c>
      <c r="H90" s="157"/>
      <c r="I90" s="157"/>
      <c r="J90" s="1"/>
      <c r="K90" s="397" t="s">
        <v>239</v>
      </c>
      <c r="L90" s="88">
        <f>D11+D13</f>
        <v>720000</v>
      </c>
    </row>
    <row r="91" spans="1:31" ht="12.75" hidden="1">
      <c r="A91" s="178" t="s">
        <v>240</v>
      </c>
      <c r="B91" s="395">
        <f aca="true" t="shared" si="2" ref="B91:G91">SUM(B85:B90)</f>
        <v>198222.238</v>
      </c>
      <c r="C91" s="395" t="e">
        <f t="shared" si="2"/>
        <v>#REF!</v>
      </c>
      <c r="D91" s="395" t="e">
        <f t="shared" si="2"/>
        <v>#REF!</v>
      </c>
      <c r="E91" s="395" t="e">
        <f t="shared" si="2"/>
        <v>#REF!</v>
      </c>
      <c r="F91" s="395" t="e">
        <f t="shared" si="2"/>
        <v>#REF!</v>
      </c>
      <c r="G91" s="152" t="e">
        <f t="shared" si="2"/>
        <v>#REF!</v>
      </c>
      <c r="H91" s="157"/>
      <c r="I91" s="157"/>
      <c r="J91" s="1"/>
      <c r="K91" s="112">
        <v>2</v>
      </c>
      <c r="L91" s="112">
        <f>L90*(1+$N$88/100)</f>
        <v>741600</v>
      </c>
      <c r="AE91" s="388"/>
    </row>
    <row r="92" spans="1:12" ht="12.75" hidden="1">
      <c r="A92" s="178" t="s">
        <v>241</v>
      </c>
      <c r="B92" s="395">
        <f aca="true" t="shared" si="3" ref="B92:G92">B91/12</f>
        <v>16518.519833333336</v>
      </c>
      <c r="C92" s="395" t="e">
        <f t="shared" si="3"/>
        <v>#REF!</v>
      </c>
      <c r="D92" s="395" t="e">
        <f t="shared" si="3"/>
        <v>#REF!</v>
      </c>
      <c r="E92" s="395" t="e">
        <f t="shared" si="3"/>
        <v>#REF!</v>
      </c>
      <c r="F92" s="395" t="e">
        <f t="shared" si="3"/>
        <v>#REF!</v>
      </c>
      <c r="G92" s="152" t="e">
        <f t="shared" si="3"/>
        <v>#REF!</v>
      </c>
      <c r="H92" s="157"/>
      <c r="I92" s="157"/>
      <c r="J92" s="1"/>
      <c r="K92" s="112">
        <v>3</v>
      </c>
      <c r="L92" s="112">
        <f>L91*(1+$N$88/100)</f>
        <v>763848</v>
      </c>
    </row>
    <row r="93" spans="1:12" ht="12.75" hidden="1">
      <c r="A93" s="303" t="s">
        <v>242</v>
      </c>
      <c r="B93" s="398">
        <v>0</v>
      </c>
      <c r="C93" s="398" t="e">
        <f>-B92+C92</f>
        <v>#REF!</v>
      </c>
      <c r="D93" s="398" t="e">
        <f>-C92+D92</f>
        <v>#REF!</v>
      </c>
      <c r="E93" s="398" t="e">
        <f>-D92+E92</f>
        <v>#REF!</v>
      </c>
      <c r="F93" s="398" t="e">
        <f>-E92+F92</f>
        <v>#REF!</v>
      </c>
      <c r="G93" s="399" t="e">
        <f>-F92+G92</f>
        <v>#REF!</v>
      </c>
      <c r="H93" s="157"/>
      <c r="I93" s="157"/>
      <c r="J93" s="1"/>
      <c r="K93" s="112">
        <v>4</v>
      </c>
      <c r="L93" s="112">
        <f>L92*(1+$N$88/100)</f>
        <v>786763.4400000001</v>
      </c>
    </row>
    <row r="94" spans="1:12" ht="12.75" hidden="1">
      <c r="A94" s="249" t="s">
        <v>243</v>
      </c>
      <c r="B94" s="199">
        <f>B91/L90*100</f>
        <v>27.530866388888892</v>
      </c>
      <c r="C94" s="199" t="e">
        <f>C91/L91*100</f>
        <v>#REF!</v>
      </c>
      <c r="D94" s="199" t="e">
        <f>D91/L92*100</f>
        <v>#REF!</v>
      </c>
      <c r="E94" s="199" t="e">
        <f>E91/L93*100</f>
        <v>#REF!</v>
      </c>
      <c r="F94" s="199" t="e">
        <f>F91/L94*100</f>
        <v>#REF!</v>
      </c>
      <c r="G94" s="152" t="e">
        <f>G91/L94*100</f>
        <v>#REF!</v>
      </c>
      <c r="H94" s="157"/>
      <c r="I94" s="157"/>
      <c r="J94" s="1"/>
      <c r="K94" s="112">
        <v>5</v>
      </c>
      <c r="L94" s="88">
        <f>L93*(1+$N$88/100)</f>
        <v>810366.3432000001</v>
      </c>
    </row>
    <row r="95" spans="1:10" ht="12.75" hidden="1">
      <c r="A95" s="88"/>
      <c r="B95" s="88"/>
      <c r="C95" s="88"/>
      <c r="D95" s="88"/>
      <c r="E95" s="88"/>
      <c r="F95" s="88"/>
      <c r="G95" s="88"/>
      <c r="H95" s="1"/>
      <c r="J95" s="1"/>
    </row>
    <row r="96" spans="1:10" ht="12.75" hidden="1">
      <c r="A96" s="400" t="s">
        <v>244</v>
      </c>
      <c r="B96" s="112"/>
      <c r="C96" s="88"/>
      <c r="D96" s="401">
        <v>3</v>
      </c>
      <c r="E96" s="88"/>
      <c r="F96" s="88"/>
      <c r="G96" s="88"/>
      <c r="H96" s="88"/>
      <c r="I96" s="88"/>
      <c r="J96" s="1"/>
    </row>
    <row r="97" spans="1:10" ht="12.75" hidden="1">
      <c r="A97" s="400" t="s">
        <v>245</v>
      </c>
      <c r="B97" s="112"/>
      <c r="C97" s="88"/>
      <c r="D97" s="401">
        <v>4</v>
      </c>
      <c r="F97" s="88"/>
      <c r="G97" s="88"/>
      <c r="H97" s="88"/>
      <c r="I97" s="88"/>
      <c r="J97" s="88"/>
    </row>
    <row r="98" spans="1:10" ht="12.75" hidden="1">
      <c r="A98" s="88"/>
      <c r="B98" s="88"/>
      <c r="C98" s="88"/>
      <c r="D98" s="88"/>
      <c r="E98" s="88"/>
      <c r="F98" s="88"/>
      <c r="G98" s="88"/>
      <c r="H98" s="88"/>
      <c r="I98" s="88"/>
      <c r="J98" s="88"/>
    </row>
    <row r="99" spans="1:10" ht="12.75" hidden="1">
      <c r="A99" s="88" t="s">
        <v>246</v>
      </c>
      <c r="B99" s="88"/>
      <c r="C99" s="88"/>
      <c r="D99" s="88"/>
      <c r="E99" s="88"/>
      <c r="F99" s="88"/>
      <c r="G99" s="88"/>
      <c r="H99" s="88"/>
      <c r="I99" s="88"/>
      <c r="J99" s="88"/>
    </row>
    <row r="100" spans="1:10" ht="12.75" hidden="1">
      <c r="A100" s="88" t="s">
        <v>247</v>
      </c>
      <c r="B100" s="88"/>
      <c r="C100" s="88"/>
      <c r="D100" s="88"/>
      <c r="E100" s="88"/>
      <c r="F100" s="88"/>
      <c r="G100" s="88"/>
      <c r="H100" s="88"/>
      <c r="I100" s="88"/>
      <c r="J100" s="88"/>
    </row>
    <row r="101" spans="1:10" ht="12.75" hidden="1">
      <c r="A101" s="88" t="s">
        <v>248</v>
      </c>
      <c r="B101" s="88"/>
      <c r="C101" s="88"/>
      <c r="D101" s="88"/>
      <c r="E101" s="88"/>
      <c r="F101" s="88"/>
      <c r="H101" s="88"/>
      <c r="I101" s="88"/>
      <c r="J101" s="88"/>
    </row>
    <row r="102" spans="1:10" ht="12.75" hidden="1">
      <c r="A102" s="402" t="str">
        <f>A59</f>
        <v>Rev. 2019-02-05 BP</v>
      </c>
      <c r="H102" s="403"/>
      <c r="I102" s="382"/>
      <c r="J102" s="88"/>
    </row>
    <row r="103" spans="8:10" ht="12.75">
      <c r="H103" s="1"/>
      <c r="J103" s="1"/>
    </row>
    <row r="104" spans="7:10" ht="12.75">
      <c r="G104" s="88"/>
      <c r="H104" s="1"/>
      <c r="J104" s="1"/>
    </row>
    <row r="105" spans="1:10" ht="12.75">
      <c r="A105" s="88"/>
      <c r="B105" s="88"/>
      <c r="C105" s="88"/>
      <c r="D105" s="88"/>
      <c r="E105" s="88"/>
      <c r="F105" s="88"/>
      <c r="G105" s="88"/>
      <c r="H105" s="88"/>
      <c r="I105" s="88"/>
      <c r="J105" s="1"/>
    </row>
    <row r="106" spans="1:10" ht="12.75">
      <c r="A106" s="88"/>
      <c r="B106" s="88"/>
      <c r="C106" s="88"/>
      <c r="D106" s="88"/>
      <c r="E106" s="88"/>
      <c r="F106" s="88"/>
      <c r="G106" s="88"/>
      <c r="H106" s="88"/>
      <c r="I106" s="88"/>
      <c r="J106" s="88"/>
    </row>
    <row r="107" ht="12.75">
      <c r="J107" s="88"/>
    </row>
    <row r="108" ht="12.75">
      <c r="J108" s="88"/>
    </row>
    <row r="142" spans="1:9" ht="12.75">
      <c r="A142"/>
      <c r="B142"/>
      <c r="C142"/>
      <c r="D142"/>
      <c r="E142"/>
      <c r="F142"/>
      <c r="G142"/>
      <c r="H142"/>
      <c r="I142" s="108"/>
    </row>
    <row r="143" spans="1:9" ht="12.75">
      <c r="A143"/>
      <c r="B143"/>
      <c r="C143"/>
      <c r="D143"/>
      <c r="E143"/>
      <c r="F143"/>
      <c r="G143"/>
      <c r="H143"/>
      <c r="I143" s="108"/>
    </row>
    <row r="144" spans="1:9" ht="12.75">
      <c r="A144"/>
      <c r="B144"/>
      <c r="C144"/>
      <c r="D144"/>
      <c r="E144"/>
      <c r="F144"/>
      <c r="G144"/>
      <c r="H144"/>
      <c r="I144" s="108"/>
    </row>
    <row r="145" spans="1:9" ht="12.75">
      <c r="A145"/>
      <c r="B145"/>
      <c r="C145"/>
      <c r="D145"/>
      <c r="E145"/>
      <c r="F145"/>
      <c r="G145"/>
      <c r="H145"/>
      <c r="I145" s="108"/>
    </row>
    <row r="146" spans="1:9" ht="12.75">
      <c r="A146"/>
      <c r="B146"/>
      <c r="C146"/>
      <c r="D146"/>
      <c r="E146"/>
      <c r="F146"/>
      <c r="G146"/>
      <c r="H146"/>
      <c r="I146" s="108"/>
    </row>
    <row r="147" spans="1:9" ht="12.75">
      <c r="A147"/>
      <c r="B147"/>
      <c r="C147"/>
      <c r="D147"/>
      <c r="E147"/>
      <c r="F147"/>
      <c r="G147"/>
      <c r="H147"/>
      <c r="I147" s="108"/>
    </row>
    <row r="148" spans="1:9" ht="12.75">
      <c r="A148"/>
      <c r="B148"/>
      <c r="C148"/>
      <c r="D148"/>
      <c r="E148"/>
      <c r="F148"/>
      <c r="G148"/>
      <c r="H148"/>
      <c r="I148" s="108"/>
    </row>
    <row r="149" spans="1:9" ht="12.75">
      <c r="A149"/>
      <c r="B149"/>
      <c r="C149"/>
      <c r="D149"/>
      <c r="E149"/>
      <c r="F149"/>
      <c r="G149"/>
      <c r="H149"/>
      <c r="I149" s="108"/>
    </row>
    <row r="150" spans="1:9" ht="12.75">
      <c r="A150"/>
      <c r="B150"/>
      <c r="C150"/>
      <c r="D150"/>
      <c r="E150"/>
      <c r="F150"/>
      <c r="G150"/>
      <c r="H150"/>
      <c r="I150" s="108"/>
    </row>
    <row r="151" spans="1:9" ht="12.75">
      <c r="A151"/>
      <c r="B151"/>
      <c r="C151"/>
      <c r="D151"/>
      <c r="E151"/>
      <c r="F151"/>
      <c r="G151"/>
      <c r="H151"/>
      <c r="I151" s="108"/>
    </row>
    <row r="152" spans="1:9" ht="12.75">
      <c r="A152"/>
      <c r="B152"/>
      <c r="C152"/>
      <c r="D152"/>
      <c r="E152"/>
      <c r="F152"/>
      <c r="G152"/>
      <c r="H152"/>
      <c r="I152" s="108"/>
    </row>
    <row r="153" spans="1:9" ht="12.75">
      <c r="A153"/>
      <c r="B153"/>
      <c r="C153"/>
      <c r="D153"/>
      <c r="E153"/>
      <c r="F153"/>
      <c r="G153"/>
      <c r="H153"/>
      <c r="I153" s="108"/>
    </row>
    <row r="154" spans="1:9" ht="12.75">
      <c r="A154"/>
      <c r="B154"/>
      <c r="C154"/>
      <c r="D154"/>
      <c r="E154"/>
      <c r="F154"/>
      <c r="G154"/>
      <c r="H154"/>
      <c r="I154" s="108"/>
    </row>
  </sheetData>
  <sheetProtection/>
  <printOptions/>
  <pageMargins left="1" right="0.1701388888888889" top="0.5097222222222222" bottom="0.5201388888888889" header="0.5118055555555555" footer="0.5118055555555555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2:V57"/>
  <sheetViews>
    <sheetView showGridLines="0" showZeros="0" zoomScalePageLayoutView="0" workbookViewId="0" topLeftCell="A1">
      <selection activeCell="F4" sqref="F4"/>
    </sheetView>
  </sheetViews>
  <sheetFormatPr defaultColWidth="9.140625" defaultRowHeight="12.75"/>
  <cols>
    <col min="1" max="1" width="3.7109375" style="0" customWidth="1"/>
    <col min="2" max="5" width="4.7109375" style="0" customWidth="1"/>
    <col min="6" max="6" width="3.7109375" style="0" customWidth="1"/>
    <col min="7" max="9" width="4.7109375" style="0" customWidth="1"/>
    <col min="10" max="11" width="1.28515625" style="0" customWidth="1"/>
    <col min="12" max="14" width="4.7109375" style="0" customWidth="1"/>
    <col min="15" max="16" width="2.7109375" style="0" customWidth="1"/>
    <col min="17" max="17" width="4.7109375" style="0" customWidth="1"/>
    <col min="18" max="18" width="3.7109375" style="0" customWidth="1"/>
    <col min="19" max="21" width="4.7109375" style="0" customWidth="1"/>
    <col min="22" max="23" width="1.28515625" style="0" customWidth="1"/>
  </cols>
  <sheetData>
    <row r="2" ht="12.75">
      <c r="M2" t="s">
        <v>290</v>
      </c>
    </row>
    <row r="3" ht="12.75">
      <c r="M3" s="15" t="s">
        <v>5</v>
      </c>
    </row>
    <row r="4" spans="13:16" ht="12.75">
      <c r="M4" s="583">
        <f>'Kalkyl-Total'!I4</f>
        <v>45020</v>
      </c>
      <c r="N4" s="583"/>
      <c r="O4" s="583"/>
      <c r="P4" s="583"/>
    </row>
    <row r="5" ht="6.75" customHeight="1"/>
    <row r="6" spans="1:22" s="15" customFormat="1" ht="10.5" customHeight="1">
      <c r="A6" s="441" t="s">
        <v>271</v>
      </c>
      <c r="B6" s="439"/>
      <c r="C6" s="439"/>
      <c r="D6" s="439"/>
      <c r="E6" s="439"/>
      <c r="F6" s="439"/>
      <c r="G6" s="439"/>
      <c r="H6" s="439"/>
      <c r="I6" s="439"/>
      <c r="J6" s="439"/>
      <c r="K6" s="441" t="s">
        <v>318</v>
      </c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40"/>
    </row>
    <row r="7" spans="1:22" s="15" customFormat="1" ht="16.5" customHeight="1">
      <c r="A7" s="603">
        <f>'Kalkyl-Boende'!H25</f>
        <v>3200100</v>
      </c>
      <c r="B7" s="604"/>
      <c r="C7" s="604"/>
      <c r="D7" s="604"/>
      <c r="E7" s="604"/>
      <c r="F7" s="604"/>
      <c r="G7" s="604"/>
      <c r="H7" s="604"/>
      <c r="I7" s="604"/>
      <c r="J7" s="605"/>
      <c r="K7" s="584">
        <f>'Kalkyl-Boende'!H27</f>
        <v>3769100</v>
      </c>
      <c r="L7" s="585"/>
      <c r="M7" s="585"/>
      <c r="N7" s="585"/>
      <c r="O7" s="585"/>
      <c r="P7" s="585"/>
      <c r="Q7" s="585"/>
      <c r="R7" s="585"/>
      <c r="S7" s="585"/>
      <c r="T7" s="585"/>
      <c r="U7" s="585"/>
      <c r="V7" s="586"/>
    </row>
    <row r="8" ht="6.75" customHeight="1"/>
    <row r="9" spans="1:22" s="15" customFormat="1" ht="10.5" customHeight="1">
      <c r="A9" s="558" t="s">
        <v>272</v>
      </c>
      <c r="B9" s="559"/>
      <c r="C9" s="559"/>
      <c r="D9" s="559"/>
      <c r="E9" s="559"/>
      <c r="F9" s="559"/>
      <c r="G9" s="559"/>
      <c r="H9" s="559"/>
      <c r="I9" s="559"/>
      <c r="J9" s="560"/>
      <c r="K9" s="558" t="s">
        <v>281</v>
      </c>
      <c r="L9" s="559"/>
      <c r="M9" s="559"/>
      <c r="N9" s="559"/>
      <c r="O9" s="559"/>
      <c r="P9" s="559"/>
      <c r="Q9" s="560"/>
      <c r="R9" s="558" t="s">
        <v>285</v>
      </c>
      <c r="S9" s="559"/>
      <c r="T9" s="559"/>
      <c r="U9" s="559"/>
      <c r="V9" s="560"/>
    </row>
    <row r="10" spans="1:22" ht="12.75">
      <c r="A10" s="565" t="s">
        <v>307</v>
      </c>
      <c r="B10" s="562"/>
      <c r="C10" s="562"/>
      <c r="D10" s="562"/>
      <c r="E10" s="562"/>
      <c r="F10" s="562"/>
      <c r="G10" s="562"/>
      <c r="H10" s="562"/>
      <c r="I10" s="562"/>
      <c r="J10" s="563"/>
      <c r="K10" s="561"/>
      <c r="L10" s="562"/>
      <c r="M10" s="562"/>
      <c r="N10" s="562"/>
      <c r="O10" s="562"/>
      <c r="P10" s="562"/>
      <c r="Q10" s="563"/>
      <c r="R10" s="561" t="s">
        <v>308</v>
      </c>
      <c r="S10" s="562"/>
      <c r="T10" s="562"/>
      <c r="U10" s="562"/>
      <c r="V10" s="563"/>
    </row>
    <row r="11" spans="1:22" s="15" customFormat="1" ht="12.75">
      <c r="A11" s="558" t="s">
        <v>273</v>
      </c>
      <c r="B11" s="559"/>
      <c r="C11" s="559"/>
      <c r="D11" s="559"/>
      <c r="E11" s="559"/>
      <c r="F11" s="559"/>
      <c r="G11" s="559"/>
      <c r="H11" s="559"/>
      <c r="I11" s="559"/>
      <c r="J11" s="559"/>
      <c r="K11" s="559"/>
      <c r="L11" s="559"/>
      <c r="M11" s="559"/>
      <c r="N11" s="559"/>
      <c r="O11" s="559"/>
      <c r="P11" s="559"/>
      <c r="Q11" s="560"/>
      <c r="R11" s="558" t="s">
        <v>286</v>
      </c>
      <c r="S11" s="559"/>
      <c r="T11" s="559"/>
      <c r="U11" s="559"/>
      <c r="V11" s="560"/>
    </row>
    <row r="12" spans="1:22" ht="12.75">
      <c r="A12" s="561" t="s">
        <v>309</v>
      </c>
      <c r="B12" s="562"/>
      <c r="C12" s="562"/>
      <c r="D12" s="562"/>
      <c r="E12" s="562"/>
      <c r="F12" s="562"/>
      <c r="G12" s="562"/>
      <c r="H12" s="562"/>
      <c r="I12" s="562"/>
      <c r="J12" s="562"/>
      <c r="K12" s="562"/>
      <c r="L12" s="562"/>
      <c r="M12" s="562"/>
      <c r="N12" s="562"/>
      <c r="O12" s="562"/>
      <c r="P12" s="562"/>
      <c r="Q12" s="563"/>
      <c r="R12" s="561" t="s">
        <v>311</v>
      </c>
      <c r="S12" s="562"/>
      <c r="T12" s="562"/>
      <c r="U12" s="562"/>
      <c r="V12" s="563"/>
    </row>
    <row r="13" spans="1:22" s="15" customFormat="1" ht="12.75">
      <c r="A13" s="558" t="s">
        <v>274</v>
      </c>
      <c r="B13" s="559"/>
      <c r="C13" s="559"/>
      <c r="D13" s="559"/>
      <c r="E13" s="559"/>
      <c r="F13" s="559"/>
      <c r="G13" s="559"/>
      <c r="H13" s="559"/>
      <c r="I13" s="559"/>
      <c r="J13" s="559"/>
      <c r="K13" s="559"/>
      <c r="L13" s="559"/>
      <c r="M13" s="559"/>
      <c r="N13" s="559"/>
      <c r="O13" s="559"/>
      <c r="P13" s="559"/>
      <c r="Q13" s="560"/>
      <c r="R13" s="558" t="s">
        <v>287</v>
      </c>
      <c r="S13" s="559"/>
      <c r="T13" s="559"/>
      <c r="U13" s="559"/>
      <c r="V13" s="560"/>
    </row>
    <row r="14" spans="1:22" ht="12.75">
      <c r="A14" s="561" t="s">
        <v>310</v>
      </c>
      <c r="B14" s="562"/>
      <c r="C14" s="562"/>
      <c r="D14" s="562"/>
      <c r="E14" s="562"/>
      <c r="F14" s="562"/>
      <c r="G14" s="562"/>
      <c r="H14" s="562"/>
      <c r="I14" s="562"/>
      <c r="J14" s="562"/>
      <c r="K14" s="562"/>
      <c r="L14" s="562"/>
      <c r="M14" s="562"/>
      <c r="N14" s="562"/>
      <c r="O14" s="562"/>
      <c r="P14" s="562"/>
      <c r="Q14" s="563"/>
      <c r="R14" s="561" t="s">
        <v>312</v>
      </c>
      <c r="S14" s="562"/>
      <c r="T14" s="562"/>
      <c r="U14" s="562"/>
      <c r="V14" s="563"/>
    </row>
    <row r="15" spans="1:22" s="15" customFormat="1" ht="12.75">
      <c r="A15" s="558" t="s">
        <v>275</v>
      </c>
      <c r="B15" s="559"/>
      <c r="C15" s="559"/>
      <c r="D15" s="559"/>
      <c r="E15" s="559"/>
      <c r="F15" s="559"/>
      <c r="G15" s="559"/>
      <c r="H15" s="559"/>
      <c r="I15" s="559"/>
      <c r="J15" s="559"/>
      <c r="K15" s="559"/>
      <c r="L15" s="559"/>
      <c r="M15" s="559"/>
      <c r="N15" s="559"/>
      <c r="O15" s="559"/>
      <c r="P15" s="559"/>
      <c r="Q15" s="560"/>
      <c r="R15" s="558" t="s">
        <v>288</v>
      </c>
      <c r="S15" s="559"/>
      <c r="T15" s="559"/>
      <c r="U15" s="559"/>
      <c r="V15" s="560"/>
    </row>
    <row r="16" spans="1:22" ht="12.75">
      <c r="A16" s="561" t="s">
        <v>332</v>
      </c>
      <c r="B16" s="562"/>
      <c r="C16" s="562"/>
      <c r="D16" s="562"/>
      <c r="E16" s="562"/>
      <c r="F16" s="562"/>
      <c r="G16" s="562"/>
      <c r="H16" s="562"/>
      <c r="I16" s="562"/>
      <c r="J16" s="562"/>
      <c r="K16" s="562"/>
      <c r="L16" s="562"/>
      <c r="M16" s="562"/>
      <c r="N16" s="562"/>
      <c r="O16" s="562"/>
      <c r="P16" s="562"/>
      <c r="Q16" s="563"/>
      <c r="R16" s="561"/>
      <c r="S16" s="562"/>
      <c r="T16" s="562"/>
      <c r="U16" s="562"/>
      <c r="V16" s="563"/>
    </row>
    <row r="17" spans="1:22" s="15" customFormat="1" ht="12.75">
      <c r="A17" s="558" t="s">
        <v>276</v>
      </c>
      <c r="B17" s="559"/>
      <c r="C17" s="559"/>
      <c r="D17" s="559"/>
      <c r="E17" s="559"/>
      <c r="F17" s="559"/>
      <c r="G17" s="559"/>
      <c r="H17" s="559"/>
      <c r="I17" s="559"/>
      <c r="J17" s="559"/>
      <c r="K17" s="559"/>
      <c r="L17" s="559"/>
      <c r="M17" s="559"/>
      <c r="N17" s="559"/>
      <c r="O17" s="559"/>
      <c r="P17" s="559"/>
      <c r="Q17" s="560"/>
      <c r="R17" s="558" t="s">
        <v>289</v>
      </c>
      <c r="S17" s="559"/>
      <c r="T17" s="559"/>
      <c r="U17" s="559"/>
      <c r="V17" s="560"/>
    </row>
    <row r="18" spans="1:22" s="15" customFormat="1" ht="12.75">
      <c r="A18" s="564"/>
      <c r="B18" s="562"/>
      <c r="C18" s="562"/>
      <c r="D18" s="562"/>
      <c r="E18" s="562"/>
      <c r="F18" s="562"/>
      <c r="G18" s="562"/>
      <c r="H18" s="562"/>
      <c r="I18" s="562"/>
      <c r="J18" s="562"/>
      <c r="K18" s="562"/>
      <c r="L18" s="562"/>
      <c r="M18" s="562"/>
      <c r="N18" s="562"/>
      <c r="O18" s="562"/>
      <c r="P18" s="562"/>
      <c r="Q18" s="563"/>
      <c r="R18" s="564"/>
      <c r="S18" s="562"/>
      <c r="T18" s="562"/>
      <c r="U18" s="562"/>
      <c r="V18" s="563"/>
    </row>
    <row r="19" ht="6.75" customHeight="1"/>
    <row r="20" spans="1:7" ht="19.5" customHeight="1">
      <c r="A20" s="442"/>
      <c r="B20" t="s">
        <v>277</v>
      </c>
      <c r="F20" s="442"/>
      <c r="G20" t="s">
        <v>280</v>
      </c>
    </row>
    <row r="21" spans="1:22" ht="12.75">
      <c r="A21" s="558" t="s">
        <v>272</v>
      </c>
      <c r="B21" s="559"/>
      <c r="C21" s="559"/>
      <c r="D21" s="559"/>
      <c r="E21" s="559"/>
      <c r="F21" s="559"/>
      <c r="G21" s="559"/>
      <c r="H21" s="559"/>
      <c r="I21" s="559"/>
      <c r="J21" s="560"/>
      <c r="K21" s="558" t="s">
        <v>281</v>
      </c>
      <c r="L21" s="559"/>
      <c r="M21" s="559"/>
      <c r="N21" s="559"/>
      <c r="O21" s="559"/>
      <c r="P21" s="559"/>
      <c r="Q21" s="560"/>
      <c r="R21" s="558" t="s">
        <v>285</v>
      </c>
      <c r="S21" s="559"/>
      <c r="T21" s="559"/>
      <c r="U21" s="559"/>
      <c r="V21" s="560"/>
    </row>
    <row r="22" spans="1:22" ht="12.75">
      <c r="A22" s="565" t="s">
        <v>313</v>
      </c>
      <c r="B22" s="562"/>
      <c r="C22" s="562"/>
      <c r="D22" s="562"/>
      <c r="E22" s="562"/>
      <c r="F22" s="562"/>
      <c r="G22" s="562"/>
      <c r="H22" s="562"/>
      <c r="I22" s="562"/>
      <c r="J22" s="563"/>
      <c r="K22" s="561"/>
      <c r="L22" s="562"/>
      <c r="M22" s="562"/>
      <c r="N22" s="562"/>
      <c r="O22" s="562"/>
      <c r="P22" s="562"/>
      <c r="Q22" s="563"/>
      <c r="R22" s="561" t="s">
        <v>314</v>
      </c>
      <c r="S22" s="562"/>
      <c r="T22" s="562"/>
      <c r="U22" s="562"/>
      <c r="V22" s="563"/>
    </row>
    <row r="23" spans="1:22" ht="12.75">
      <c r="A23" s="558" t="s">
        <v>273</v>
      </c>
      <c r="B23" s="559"/>
      <c r="C23" s="559"/>
      <c r="D23" s="559"/>
      <c r="E23" s="559"/>
      <c r="F23" s="559"/>
      <c r="G23" s="559"/>
      <c r="H23" s="559"/>
      <c r="I23" s="559"/>
      <c r="J23" s="559"/>
      <c r="K23" s="559"/>
      <c r="L23" s="559"/>
      <c r="M23" s="559"/>
      <c r="N23" s="559"/>
      <c r="O23" s="559"/>
      <c r="P23" s="559"/>
      <c r="Q23" s="560"/>
      <c r="R23" s="558" t="s">
        <v>286</v>
      </c>
      <c r="S23" s="559"/>
      <c r="T23" s="559"/>
      <c r="U23" s="559"/>
      <c r="V23" s="560"/>
    </row>
    <row r="24" spans="1:22" ht="12.75">
      <c r="A24" s="561" t="s">
        <v>309</v>
      </c>
      <c r="B24" s="562"/>
      <c r="C24" s="562"/>
      <c r="D24" s="562"/>
      <c r="E24" s="562"/>
      <c r="F24" s="562"/>
      <c r="G24" s="562"/>
      <c r="H24" s="562"/>
      <c r="I24" s="562"/>
      <c r="J24" s="562"/>
      <c r="K24" s="562"/>
      <c r="L24" s="562"/>
      <c r="M24" s="562"/>
      <c r="N24" s="562"/>
      <c r="O24" s="562"/>
      <c r="P24" s="562"/>
      <c r="Q24" s="563"/>
      <c r="R24" s="561" t="s">
        <v>315</v>
      </c>
      <c r="S24" s="562"/>
      <c r="T24" s="562"/>
      <c r="U24" s="562"/>
      <c r="V24" s="563"/>
    </row>
    <row r="25" spans="1:22" ht="12.75">
      <c r="A25" s="558" t="s">
        <v>274</v>
      </c>
      <c r="B25" s="559"/>
      <c r="C25" s="559"/>
      <c r="D25" s="559"/>
      <c r="E25" s="559"/>
      <c r="F25" s="559"/>
      <c r="G25" s="559"/>
      <c r="H25" s="559"/>
      <c r="I25" s="559"/>
      <c r="J25" s="559"/>
      <c r="K25" s="559"/>
      <c r="L25" s="559"/>
      <c r="M25" s="559"/>
      <c r="N25" s="559"/>
      <c r="O25" s="559"/>
      <c r="P25" s="559"/>
      <c r="Q25" s="560"/>
      <c r="R25" s="558" t="s">
        <v>287</v>
      </c>
      <c r="S25" s="559"/>
      <c r="T25" s="559"/>
      <c r="U25" s="559"/>
      <c r="V25" s="560"/>
    </row>
    <row r="26" spans="1:22" ht="12.75">
      <c r="A26" s="561" t="s">
        <v>310</v>
      </c>
      <c r="B26" s="562"/>
      <c r="C26" s="562"/>
      <c r="D26" s="562"/>
      <c r="E26" s="562"/>
      <c r="F26" s="562"/>
      <c r="G26" s="562"/>
      <c r="H26" s="562"/>
      <c r="I26" s="562"/>
      <c r="J26" s="562"/>
      <c r="K26" s="562"/>
      <c r="L26" s="562"/>
      <c r="M26" s="562"/>
      <c r="N26" s="562"/>
      <c r="O26" s="562"/>
      <c r="P26" s="562"/>
      <c r="Q26" s="563"/>
      <c r="R26" s="561" t="s">
        <v>316</v>
      </c>
      <c r="S26" s="562"/>
      <c r="T26" s="562"/>
      <c r="U26" s="562"/>
      <c r="V26" s="563"/>
    </row>
    <row r="27" spans="1:22" ht="12.75">
      <c r="A27" s="558" t="s">
        <v>275</v>
      </c>
      <c r="B27" s="559"/>
      <c r="C27" s="559"/>
      <c r="D27" s="559"/>
      <c r="E27" s="559"/>
      <c r="F27" s="559"/>
      <c r="G27" s="559"/>
      <c r="H27" s="559"/>
      <c r="I27" s="559"/>
      <c r="J27" s="559"/>
      <c r="K27" s="559"/>
      <c r="L27" s="559"/>
      <c r="M27" s="559"/>
      <c r="N27" s="559"/>
      <c r="O27" s="559"/>
      <c r="P27" s="559"/>
      <c r="Q27" s="560"/>
      <c r="R27" s="558" t="s">
        <v>288</v>
      </c>
      <c r="S27" s="559"/>
      <c r="T27" s="559"/>
      <c r="U27" s="559"/>
      <c r="V27" s="560"/>
    </row>
    <row r="28" spans="1:22" ht="12.75">
      <c r="A28" s="561" t="s">
        <v>333</v>
      </c>
      <c r="B28" s="562"/>
      <c r="C28" s="562"/>
      <c r="D28" s="562"/>
      <c r="E28" s="562"/>
      <c r="F28" s="562"/>
      <c r="G28" s="562"/>
      <c r="H28" s="562"/>
      <c r="I28" s="562"/>
      <c r="J28" s="562"/>
      <c r="K28" s="562"/>
      <c r="L28" s="562"/>
      <c r="M28" s="562"/>
      <c r="N28" s="562"/>
      <c r="O28" s="562"/>
      <c r="P28" s="562"/>
      <c r="Q28" s="563"/>
      <c r="R28" s="561"/>
      <c r="S28" s="562"/>
      <c r="T28" s="562"/>
      <c r="U28" s="562"/>
      <c r="V28" s="563"/>
    </row>
    <row r="29" spans="1:22" ht="12.75">
      <c r="A29" s="558" t="s">
        <v>276</v>
      </c>
      <c r="B29" s="559"/>
      <c r="C29" s="559"/>
      <c r="D29" s="559"/>
      <c r="E29" s="559"/>
      <c r="F29" s="559"/>
      <c r="G29" s="559"/>
      <c r="H29" s="559"/>
      <c r="I29" s="559"/>
      <c r="J29" s="559"/>
      <c r="K29" s="559"/>
      <c r="L29" s="559"/>
      <c r="M29" s="559"/>
      <c r="N29" s="559"/>
      <c r="O29" s="559"/>
      <c r="P29" s="559"/>
      <c r="Q29" s="560"/>
      <c r="R29" s="558" t="s">
        <v>289</v>
      </c>
      <c r="S29" s="559"/>
      <c r="T29" s="559"/>
      <c r="U29" s="559"/>
      <c r="V29" s="560"/>
    </row>
    <row r="30" spans="1:22" ht="12.75">
      <c r="A30" s="564"/>
      <c r="B30" s="562"/>
      <c r="C30" s="562"/>
      <c r="D30" s="562"/>
      <c r="E30" s="562"/>
      <c r="F30" s="562"/>
      <c r="G30" s="562"/>
      <c r="H30" s="562"/>
      <c r="I30" s="562"/>
      <c r="J30" s="562"/>
      <c r="K30" s="562"/>
      <c r="L30" s="562"/>
      <c r="M30" s="562"/>
      <c r="N30" s="562"/>
      <c r="O30" s="562"/>
      <c r="P30" s="562"/>
      <c r="Q30" s="563"/>
      <c r="R30" s="564"/>
      <c r="S30" s="562"/>
      <c r="T30" s="562"/>
      <c r="U30" s="562"/>
      <c r="V30" s="563"/>
    </row>
    <row r="31" spans="1:22" ht="6.75" customHeight="1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</row>
    <row r="32" spans="1:22" ht="12.75">
      <c r="A32" s="558" t="s">
        <v>278</v>
      </c>
      <c r="B32" s="559"/>
      <c r="C32" s="559"/>
      <c r="D32" s="559"/>
      <c r="E32" s="559"/>
      <c r="F32" s="559"/>
      <c r="G32" s="559"/>
      <c r="H32" s="559"/>
      <c r="I32" s="559"/>
      <c r="J32" s="559"/>
      <c r="K32" s="559"/>
      <c r="L32" s="559"/>
      <c r="M32" s="559"/>
      <c r="N32" s="559"/>
      <c r="O32" s="559"/>
      <c r="P32" s="559"/>
      <c r="Q32" s="559"/>
      <c r="R32" s="559"/>
      <c r="S32" s="559"/>
      <c r="T32" s="559"/>
      <c r="U32" s="559"/>
      <c r="V32" s="560"/>
    </row>
    <row r="33" spans="1:22" ht="12.75">
      <c r="A33" s="561" t="s">
        <v>317</v>
      </c>
      <c r="B33" s="562"/>
      <c r="C33" s="562"/>
      <c r="D33" s="562"/>
      <c r="E33" s="562"/>
      <c r="F33" s="562"/>
      <c r="G33" s="562"/>
      <c r="H33" s="562"/>
      <c r="I33" s="562"/>
      <c r="J33" s="562"/>
      <c r="K33" s="562"/>
      <c r="L33" s="562"/>
      <c r="M33" s="562"/>
      <c r="N33" s="562"/>
      <c r="O33" s="562"/>
      <c r="P33" s="562"/>
      <c r="Q33" s="562"/>
      <c r="R33" s="562"/>
      <c r="S33" s="562"/>
      <c r="T33" s="562"/>
      <c r="U33" s="562"/>
      <c r="V33" s="563"/>
    </row>
    <row r="34" ht="6.75" customHeight="1"/>
    <row r="35" spans="1:22" ht="12.75">
      <c r="A35" s="558" t="s">
        <v>4</v>
      </c>
      <c r="B35" s="559"/>
      <c r="C35" s="559"/>
      <c r="D35" s="559"/>
      <c r="E35" s="559"/>
      <c r="F35" s="559"/>
      <c r="G35" s="559"/>
      <c r="H35" s="559"/>
      <c r="I35" s="559"/>
      <c r="J35" s="559"/>
      <c r="K35" s="559"/>
      <c r="L35" s="559"/>
      <c r="M35" s="559"/>
      <c r="N35" s="559"/>
      <c r="O35" s="559"/>
      <c r="P35" s="559"/>
      <c r="Q35" s="559"/>
      <c r="R35" s="559"/>
      <c r="S35" s="559"/>
      <c r="T35" s="559"/>
      <c r="U35" s="559"/>
      <c r="V35" s="560"/>
    </row>
    <row r="36" spans="1:22" ht="12.75">
      <c r="A36" s="561"/>
      <c r="B36" s="562"/>
      <c r="C36" s="562"/>
      <c r="D36" s="562"/>
      <c r="E36" s="562"/>
      <c r="F36" s="562"/>
      <c r="G36" s="562"/>
      <c r="H36" s="562"/>
      <c r="I36" s="562"/>
      <c r="J36" s="562"/>
      <c r="K36" s="562"/>
      <c r="L36" s="562"/>
      <c r="M36" s="562"/>
      <c r="N36" s="562"/>
      <c r="O36" s="562"/>
      <c r="P36" s="562"/>
      <c r="Q36" s="562"/>
      <c r="R36" s="562"/>
      <c r="S36" s="562"/>
      <c r="T36" s="562"/>
      <c r="U36" s="562"/>
      <c r="V36" s="563"/>
    </row>
    <row r="37" spans="1:22" ht="12.75">
      <c r="A37" s="558" t="s">
        <v>279</v>
      </c>
      <c r="B37" s="559"/>
      <c r="C37" s="559"/>
      <c r="D37" s="559"/>
      <c r="E37" s="559"/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60"/>
    </row>
    <row r="38" spans="1:22" ht="38.25" customHeight="1">
      <c r="A38" s="578"/>
      <c r="B38" s="579"/>
      <c r="C38" s="579"/>
      <c r="D38" s="579"/>
      <c r="E38" s="579"/>
      <c r="F38" s="579"/>
      <c r="G38" s="579"/>
      <c r="H38" s="579"/>
      <c r="I38" s="579"/>
      <c r="J38" s="579"/>
      <c r="K38" s="579"/>
      <c r="L38" s="579"/>
      <c r="M38" s="579"/>
      <c r="N38" s="579"/>
      <c r="O38" s="579"/>
      <c r="P38" s="579"/>
      <c r="Q38" s="579"/>
      <c r="R38" s="579"/>
      <c r="S38" s="579"/>
      <c r="T38" s="579"/>
      <c r="U38" s="579"/>
      <c r="V38" s="580"/>
    </row>
    <row r="39" spans="1:18" s="168" customFormat="1" ht="12.75">
      <c r="A39" s="168" t="s">
        <v>282</v>
      </c>
      <c r="E39" s="168" t="s">
        <v>283</v>
      </c>
      <c r="L39" s="168" t="s">
        <v>284</v>
      </c>
      <c r="R39" s="168" t="s">
        <v>283</v>
      </c>
    </row>
    <row r="40" spans="1:22" ht="12.75">
      <c r="A40" s="435" t="s">
        <v>291</v>
      </c>
      <c r="B40" s="433"/>
      <c r="C40" s="433"/>
      <c r="D40" s="433"/>
      <c r="E40" s="435"/>
      <c r="F40" s="572">
        <f>IF('Kalkyl-Boende'!D11&gt;0,'Kalkyl-Boende'!D11/12,0)</f>
        <v>60000</v>
      </c>
      <c r="G40" s="573"/>
      <c r="H40" s="573"/>
      <c r="I40" s="573"/>
      <c r="J40" s="574"/>
      <c r="K40" s="98"/>
      <c r="L40" s="593" t="s">
        <v>299</v>
      </c>
      <c r="M40" s="559"/>
      <c r="N40" s="559"/>
      <c r="O40" s="559"/>
      <c r="P40" s="559"/>
      <c r="Q40" s="560"/>
      <c r="R40" s="572">
        <f>IF('Kalkyl-Drift'!I32&gt;0,'Kalkyl-Drift'!I32/12,0)</f>
        <v>0</v>
      </c>
      <c r="S40" s="573"/>
      <c r="T40" s="573"/>
      <c r="U40" s="573"/>
      <c r="V40" s="574"/>
    </row>
    <row r="41" spans="1:22" ht="12.75">
      <c r="A41" s="432" t="s">
        <v>292</v>
      </c>
      <c r="B41" s="431"/>
      <c r="C41" s="431"/>
      <c r="D41" s="431"/>
      <c r="E41" s="431"/>
      <c r="F41" s="575"/>
      <c r="G41" s="576"/>
      <c r="H41" s="576"/>
      <c r="I41" s="576"/>
      <c r="J41" s="577"/>
      <c r="K41" s="98"/>
      <c r="L41" s="594" t="s">
        <v>300</v>
      </c>
      <c r="M41" s="595"/>
      <c r="N41" s="595"/>
      <c r="O41" s="595"/>
      <c r="P41" s="595"/>
      <c r="Q41" s="596"/>
      <c r="R41" s="575"/>
      <c r="S41" s="576"/>
      <c r="T41" s="576"/>
      <c r="U41" s="576"/>
      <c r="V41" s="577"/>
    </row>
    <row r="42" spans="1:22" ht="12.75">
      <c r="A42" s="436" t="s">
        <v>293</v>
      </c>
      <c r="B42" s="433"/>
      <c r="C42" s="433"/>
      <c r="D42" s="433"/>
      <c r="E42" s="435"/>
      <c r="F42" s="587"/>
      <c r="G42" s="588"/>
      <c r="H42" s="588"/>
      <c r="I42" s="588"/>
      <c r="J42" s="589"/>
      <c r="L42" s="606" t="s">
        <v>301</v>
      </c>
      <c r="M42" s="567"/>
      <c r="N42" s="567"/>
      <c r="O42" s="567"/>
      <c r="P42" s="567"/>
      <c r="Q42" s="568"/>
      <c r="R42" s="572">
        <f>IF('Kalkyl-Boende'!Z45&gt;0,'Kalkyl-Boende'!Z45/12,0)</f>
        <v>21020.942916666667</v>
      </c>
      <c r="S42" s="573"/>
      <c r="T42" s="573"/>
      <c r="U42" s="573"/>
      <c r="V42" s="574"/>
    </row>
    <row r="43" spans="1:22" ht="12.75">
      <c r="A43" s="432"/>
      <c r="B43" s="431"/>
      <c r="C43" s="431"/>
      <c r="D43" s="431"/>
      <c r="E43" s="431"/>
      <c r="F43" s="590"/>
      <c r="G43" s="591"/>
      <c r="H43" s="591"/>
      <c r="I43" s="591"/>
      <c r="J43" s="592"/>
      <c r="L43" s="569"/>
      <c r="M43" s="570"/>
      <c r="N43" s="570"/>
      <c r="O43" s="570"/>
      <c r="P43" s="570"/>
      <c r="Q43" s="571"/>
      <c r="R43" s="575"/>
      <c r="S43" s="576"/>
      <c r="T43" s="576"/>
      <c r="U43" s="576"/>
      <c r="V43" s="577"/>
    </row>
    <row r="44" spans="1:22" ht="12.75">
      <c r="A44" s="437" t="s">
        <v>291</v>
      </c>
      <c r="B44" s="433"/>
      <c r="C44" s="433"/>
      <c r="D44" s="433"/>
      <c r="E44" s="435"/>
      <c r="F44" s="572">
        <f>IF('Kalkyl-Boende'!D13&gt;0,'Kalkyl-Boende'!D13/12,0)</f>
        <v>0</v>
      </c>
      <c r="G44" s="573"/>
      <c r="H44" s="573"/>
      <c r="I44" s="573"/>
      <c r="J44" s="574"/>
      <c r="L44" s="428" t="s">
        <v>75</v>
      </c>
      <c r="M44" s="430"/>
      <c r="N44" s="428" t="s">
        <v>302</v>
      </c>
      <c r="O44" s="430"/>
      <c r="P44" s="429" t="s">
        <v>303</v>
      </c>
      <c r="Q44" s="429"/>
      <c r="R44" s="587"/>
      <c r="S44" s="588"/>
      <c r="T44" s="588"/>
      <c r="U44" s="588"/>
      <c r="V44" s="589"/>
    </row>
    <row r="45" spans="1:22" ht="12.75">
      <c r="A45" s="438" t="s">
        <v>294</v>
      </c>
      <c r="B45" s="431"/>
      <c r="C45" s="431"/>
      <c r="D45" s="431"/>
      <c r="E45" s="431"/>
      <c r="F45" s="575"/>
      <c r="G45" s="576"/>
      <c r="H45" s="576"/>
      <c r="I45" s="576"/>
      <c r="J45" s="577"/>
      <c r="L45" s="581">
        <f>'Kalkyl-Boende'!F11</f>
        <v>0</v>
      </c>
      <c r="M45" s="582"/>
      <c r="N45" s="561"/>
      <c r="O45" s="563"/>
      <c r="P45" s="561"/>
      <c r="Q45" s="563"/>
      <c r="R45" s="590"/>
      <c r="S45" s="591"/>
      <c r="T45" s="591"/>
      <c r="U45" s="591"/>
      <c r="V45" s="592"/>
    </row>
    <row r="46" spans="1:22" ht="12.75">
      <c r="A46" s="436" t="s">
        <v>293</v>
      </c>
      <c r="B46" s="433"/>
      <c r="C46" s="433"/>
      <c r="D46" s="434"/>
      <c r="E46" s="435"/>
      <c r="F46" s="587"/>
      <c r="G46" s="588"/>
      <c r="H46" s="588"/>
      <c r="I46" s="588"/>
      <c r="J46" s="589"/>
      <c r="L46" s="606" t="s">
        <v>304</v>
      </c>
      <c r="M46" s="567"/>
      <c r="N46" s="567"/>
      <c r="O46" s="567"/>
      <c r="P46" s="567"/>
      <c r="Q46" s="568"/>
      <c r="R46" s="572"/>
      <c r="S46" s="573"/>
      <c r="T46" s="573"/>
      <c r="U46" s="573"/>
      <c r="V46" s="574"/>
    </row>
    <row r="47" spans="1:22" ht="12.75">
      <c r="A47" s="432"/>
      <c r="B47" s="431"/>
      <c r="C47" s="431"/>
      <c r="D47" s="431"/>
      <c r="E47" s="431"/>
      <c r="F47" s="590"/>
      <c r="G47" s="591"/>
      <c r="H47" s="591"/>
      <c r="I47" s="591"/>
      <c r="J47" s="592"/>
      <c r="L47" s="569"/>
      <c r="M47" s="570"/>
      <c r="N47" s="570"/>
      <c r="O47" s="570"/>
      <c r="P47" s="570"/>
      <c r="Q47" s="571"/>
      <c r="R47" s="575"/>
      <c r="S47" s="576"/>
      <c r="T47" s="576"/>
      <c r="U47" s="576"/>
      <c r="V47" s="577"/>
    </row>
    <row r="48" spans="1:22" ht="12.75">
      <c r="A48" s="566" t="s">
        <v>295</v>
      </c>
      <c r="B48" s="567"/>
      <c r="C48" s="567"/>
      <c r="D48" s="567"/>
      <c r="E48" s="568"/>
      <c r="F48" s="572">
        <f>'Kalkyl-Boende'!R54</f>
        <v>0</v>
      </c>
      <c r="G48" s="598"/>
      <c r="H48" s="598"/>
      <c r="I48" s="598"/>
      <c r="J48" s="599"/>
      <c r="L48" s="606" t="s">
        <v>305</v>
      </c>
      <c r="M48" s="567"/>
      <c r="N48" s="567"/>
      <c r="O48" s="567"/>
      <c r="P48" s="567"/>
      <c r="Q48" s="568"/>
      <c r="R48" s="572"/>
      <c r="S48" s="573"/>
      <c r="T48" s="573"/>
      <c r="U48" s="573"/>
      <c r="V48" s="574"/>
    </row>
    <row r="49" spans="1:22" ht="12.75">
      <c r="A49" s="569"/>
      <c r="B49" s="570"/>
      <c r="C49" s="570"/>
      <c r="D49" s="570"/>
      <c r="E49" s="571"/>
      <c r="F49" s="600"/>
      <c r="G49" s="601"/>
      <c r="H49" s="601"/>
      <c r="I49" s="601"/>
      <c r="J49" s="602"/>
      <c r="L49" s="569" t="s">
        <v>306</v>
      </c>
      <c r="M49" s="570"/>
      <c r="N49" s="570"/>
      <c r="O49" s="570"/>
      <c r="P49" s="570"/>
      <c r="Q49" s="571"/>
      <c r="R49" s="575"/>
      <c r="S49" s="576"/>
      <c r="T49" s="576"/>
      <c r="U49" s="576"/>
      <c r="V49" s="577"/>
    </row>
    <row r="50" spans="1:22" ht="12.75">
      <c r="A50" s="566" t="s">
        <v>296</v>
      </c>
      <c r="B50" s="567"/>
      <c r="C50" s="567"/>
      <c r="D50" s="567"/>
      <c r="E50" s="568"/>
      <c r="F50" s="572"/>
      <c r="G50" s="573"/>
      <c r="H50" s="573"/>
      <c r="I50" s="573"/>
      <c r="J50" s="574"/>
      <c r="L50" s="597"/>
      <c r="M50" s="598"/>
      <c r="N50" s="598"/>
      <c r="O50" s="598"/>
      <c r="P50" s="598"/>
      <c r="Q50" s="599"/>
      <c r="R50" s="597"/>
      <c r="S50" s="598"/>
      <c r="T50" s="598"/>
      <c r="U50" s="598"/>
      <c r="V50" s="599"/>
    </row>
    <row r="51" spans="1:22" ht="12.75">
      <c r="A51" s="569"/>
      <c r="B51" s="570"/>
      <c r="C51" s="570"/>
      <c r="D51" s="570"/>
      <c r="E51" s="571"/>
      <c r="F51" s="575"/>
      <c r="G51" s="576"/>
      <c r="H51" s="576"/>
      <c r="I51" s="576"/>
      <c r="J51" s="577"/>
      <c r="L51" s="600"/>
      <c r="M51" s="601"/>
      <c r="N51" s="601"/>
      <c r="O51" s="601"/>
      <c r="P51" s="601"/>
      <c r="Q51" s="602"/>
      <c r="R51" s="600"/>
      <c r="S51" s="601"/>
      <c r="T51" s="601"/>
      <c r="U51" s="601"/>
      <c r="V51" s="602"/>
    </row>
    <row r="52" spans="1:22" ht="12.75">
      <c r="A52" s="597"/>
      <c r="B52" s="598"/>
      <c r="C52" s="598"/>
      <c r="D52" s="598"/>
      <c r="E52" s="599"/>
      <c r="F52" s="597"/>
      <c r="G52" s="598"/>
      <c r="H52" s="598"/>
      <c r="I52" s="598"/>
      <c r="J52" s="599"/>
      <c r="L52" s="597"/>
      <c r="M52" s="598"/>
      <c r="N52" s="598"/>
      <c r="O52" s="598"/>
      <c r="P52" s="598"/>
      <c r="Q52" s="599"/>
      <c r="R52" s="597"/>
      <c r="S52" s="598"/>
      <c r="T52" s="598"/>
      <c r="U52" s="598"/>
      <c r="V52" s="599"/>
    </row>
    <row r="53" spans="1:22" ht="12.75">
      <c r="A53" s="600"/>
      <c r="B53" s="601"/>
      <c r="C53" s="601"/>
      <c r="D53" s="601"/>
      <c r="E53" s="602"/>
      <c r="F53" s="600"/>
      <c r="G53" s="601"/>
      <c r="H53" s="601"/>
      <c r="I53" s="601"/>
      <c r="J53" s="602"/>
      <c r="L53" s="600"/>
      <c r="M53" s="601"/>
      <c r="N53" s="601"/>
      <c r="O53" s="601"/>
      <c r="P53" s="601"/>
      <c r="Q53" s="602"/>
      <c r="R53" s="600"/>
      <c r="S53" s="601"/>
      <c r="T53" s="601"/>
      <c r="U53" s="601"/>
      <c r="V53" s="602"/>
    </row>
    <row r="54" spans="1:22" ht="12.75">
      <c r="A54" s="597"/>
      <c r="B54" s="598"/>
      <c r="C54" s="598"/>
      <c r="D54" s="598"/>
      <c r="E54" s="599"/>
      <c r="F54" s="597"/>
      <c r="G54" s="598"/>
      <c r="H54" s="598"/>
      <c r="I54" s="598"/>
      <c r="J54" s="599"/>
      <c r="L54" s="597"/>
      <c r="M54" s="598"/>
      <c r="N54" s="598"/>
      <c r="O54" s="598"/>
      <c r="P54" s="598"/>
      <c r="Q54" s="599"/>
      <c r="R54" s="597"/>
      <c r="S54" s="598"/>
      <c r="T54" s="598"/>
      <c r="U54" s="598"/>
      <c r="V54" s="599"/>
    </row>
    <row r="55" spans="1:22" ht="13.5" thickBot="1">
      <c r="A55" s="600"/>
      <c r="B55" s="601"/>
      <c r="C55" s="601"/>
      <c r="D55" s="601"/>
      <c r="E55" s="602"/>
      <c r="F55" s="600"/>
      <c r="G55" s="601"/>
      <c r="H55" s="601"/>
      <c r="I55" s="601"/>
      <c r="J55" s="602"/>
      <c r="L55" s="600"/>
      <c r="M55" s="601"/>
      <c r="N55" s="601"/>
      <c r="O55" s="601"/>
      <c r="P55" s="601"/>
      <c r="Q55" s="602"/>
      <c r="R55" s="600"/>
      <c r="S55" s="601"/>
      <c r="T55" s="601"/>
      <c r="U55" s="601"/>
      <c r="V55" s="602"/>
    </row>
    <row r="56" spans="1:22" ht="12.75">
      <c r="A56" s="613" t="s">
        <v>297</v>
      </c>
      <c r="B56" s="614"/>
      <c r="C56" s="614"/>
      <c r="D56" s="614"/>
      <c r="E56" s="614"/>
      <c r="F56" s="607">
        <f>SUM(F40+F44+F48+F50+F52+F54)</f>
        <v>60000</v>
      </c>
      <c r="G56" s="608"/>
      <c r="H56" s="608"/>
      <c r="I56" s="608"/>
      <c r="J56" s="609"/>
      <c r="L56" s="613" t="s">
        <v>298</v>
      </c>
      <c r="M56" s="567"/>
      <c r="N56" s="567"/>
      <c r="O56" s="567"/>
      <c r="P56" s="567"/>
      <c r="Q56" s="617"/>
      <c r="R56" s="607">
        <f>SUM(R40+R42+R46+R50+R52+R54)</f>
        <v>21020.942916666667</v>
      </c>
      <c r="S56" s="608"/>
      <c r="T56" s="608"/>
      <c r="U56" s="608"/>
      <c r="V56" s="609"/>
    </row>
    <row r="57" spans="1:22" ht="13.5" thickBot="1">
      <c r="A57" s="615"/>
      <c r="B57" s="616"/>
      <c r="C57" s="616"/>
      <c r="D57" s="616"/>
      <c r="E57" s="616"/>
      <c r="F57" s="610"/>
      <c r="G57" s="611"/>
      <c r="H57" s="611"/>
      <c r="I57" s="611"/>
      <c r="J57" s="612"/>
      <c r="L57" s="569"/>
      <c r="M57" s="570"/>
      <c r="N57" s="570"/>
      <c r="O57" s="570"/>
      <c r="P57" s="570"/>
      <c r="Q57" s="618"/>
      <c r="R57" s="610"/>
      <c r="S57" s="611"/>
      <c r="T57" s="611"/>
      <c r="U57" s="611"/>
      <c r="V57" s="612"/>
    </row>
  </sheetData>
  <sheetProtection password="C74E" sheet="1"/>
  <mergeCells count="89">
    <mergeCell ref="A50:E51"/>
    <mergeCell ref="A52:E53"/>
    <mergeCell ref="L50:Q51"/>
    <mergeCell ref="A56:E57"/>
    <mergeCell ref="L56:Q57"/>
    <mergeCell ref="A54:E55"/>
    <mergeCell ref="R56:V57"/>
    <mergeCell ref="F56:J57"/>
    <mergeCell ref="F46:J47"/>
    <mergeCell ref="F48:J49"/>
    <mergeCell ref="F50:J51"/>
    <mergeCell ref="L49:Q49"/>
    <mergeCell ref="F52:J53"/>
    <mergeCell ref="F54:J55"/>
    <mergeCell ref="R50:V51"/>
    <mergeCell ref="L52:Q53"/>
    <mergeCell ref="R54:V55"/>
    <mergeCell ref="L54:Q55"/>
    <mergeCell ref="R52:V53"/>
    <mergeCell ref="A7:J7"/>
    <mergeCell ref="L48:Q48"/>
    <mergeCell ref="A32:V32"/>
    <mergeCell ref="A26:Q26"/>
    <mergeCell ref="L42:Q43"/>
    <mergeCell ref="L46:Q47"/>
    <mergeCell ref="A35:V35"/>
    <mergeCell ref="A36:V36"/>
    <mergeCell ref="R42:V43"/>
    <mergeCell ref="R44:V45"/>
    <mergeCell ref="A37:V37"/>
    <mergeCell ref="R40:V41"/>
    <mergeCell ref="L40:Q40"/>
    <mergeCell ref="L41:Q41"/>
    <mergeCell ref="F42:J43"/>
    <mergeCell ref="R46:V47"/>
    <mergeCell ref="R48:V49"/>
    <mergeCell ref="L45:M45"/>
    <mergeCell ref="P45:Q45"/>
    <mergeCell ref="M4:P4"/>
    <mergeCell ref="K7:V7"/>
    <mergeCell ref="A16:Q16"/>
    <mergeCell ref="F40:J41"/>
    <mergeCell ref="N45:O45"/>
    <mergeCell ref="R23:V23"/>
    <mergeCell ref="A14:Q14"/>
    <mergeCell ref="A11:Q11"/>
    <mergeCell ref="A12:Q12"/>
    <mergeCell ref="R12:V12"/>
    <mergeCell ref="R13:V13"/>
    <mergeCell ref="R15:V15"/>
    <mergeCell ref="R14:V14"/>
    <mergeCell ref="A48:E49"/>
    <mergeCell ref="F44:J45"/>
    <mergeCell ref="A33:V33"/>
    <mergeCell ref="A38:V38"/>
    <mergeCell ref="R9:V9"/>
    <mergeCell ref="R26:V26"/>
    <mergeCell ref="A25:Q25"/>
    <mergeCell ref="R11:V11"/>
    <mergeCell ref="R17:V17"/>
    <mergeCell ref="A9:J9"/>
    <mergeCell ref="K9:Q9"/>
    <mergeCell ref="A10:J10"/>
    <mergeCell ref="R10:V10"/>
    <mergeCell ref="K10:Q10"/>
    <mergeCell ref="A13:Q13"/>
    <mergeCell ref="R29:V29"/>
    <mergeCell ref="A15:Q15"/>
    <mergeCell ref="K22:Q22"/>
    <mergeCell ref="A23:Q23"/>
    <mergeCell ref="A24:Q24"/>
    <mergeCell ref="A30:Q30"/>
    <mergeCell ref="R30:V30"/>
    <mergeCell ref="R18:V18"/>
    <mergeCell ref="A21:J21"/>
    <mergeCell ref="K21:Q21"/>
    <mergeCell ref="R21:V21"/>
    <mergeCell ref="A22:J22"/>
    <mergeCell ref="A28:Q28"/>
    <mergeCell ref="R28:V28"/>
    <mergeCell ref="R22:V22"/>
    <mergeCell ref="A29:Q29"/>
    <mergeCell ref="R24:V24"/>
    <mergeCell ref="A27:Q27"/>
    <mergeCell ref="R27:V27"/>
    <mergeCell ref="R25:V25"/>
    <mergeCell ref="R16:V16"/>
    <mergeCell ref="A17:Q17"/>
    <mergeCell ref="A18:Q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24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9.140625" style="467" customWidth="1"/>
    <col min="2" max="2" width="0.5625" style="467" customWidth="1"/>
    <col min="3" max="3" width="11.421875" style="467" bestFit="1" customWidth="1"/>
    <col min="4" max="5" width="9.140625" style="467" customWidth="1"/>
    <col min="6" max="6" width="11.57421875" style="467" customWidth="1"/>
    <col min="7" max="7" width="15.57421875" style="467" customWidth="1"/>
    <col min="8" max="8" width="11.140625" style="467" customWidth="1"/>
    <col min="9" max="9" width="10.00390625" style="467" bestFit="1" customWidth="1"/>
    <col min="10" max="16384" width="9.140625" style="467" customWidth="1"/>
  </cols>
  <sheetData>
    <row r="2" spans="5:7" ht="15">
      <c r="E2" s="467" t="s">
        <v>128</v>
      </c>
      <c r="G2" s="468">
        <f>'Kalkyl-Boende'!H27</f>
        <v>3769100</v>
      </c>
    </row>
    <row r="3" spans="5:7" ht="15">
      <c r="E3" s="467" t="s">
        <v>359</v>
      </c>
      <c r="G3" s="468">
        <f>'Kalkyl-Boende'!H23</f>
        <v>3769100</v>
      </c>
    </row>
    <row r="4" spans="5:8" ht="15">
      <c r="E4" s="467" t="s">
        <v>346</v>
      </c>
      <c r="G4" s="468">
        <f>'Kalkyl-Boende'!H24</f>
        <v>569000</v>
      </c>
      <c r="H4" s="469">
        <f>G4/G2</f>
        <v>0.15096442121461356</v>
      </c>
    </row>
    <row r="5" spans="5:7" ht="15">
      <c r="E5" s="467" t="s">
        <v>347</v>
      </c>
      <c r="G5" s="468">
        <f>'Kalkyl-Boende'!H26</f>
        <v>0</v>
      </c>
    </row>
    <row r="6" spans="5:8" ht="15">
      <c r="E6" s="467" t="s">
        <v>360</v>
      </c>
      <c r="G6" s="468">
        <f>G3-G4</f>
        <v>3200100</v>
      </c>
      <c r="H6" s="469">
        <f>G6/G2</f>
        <v>0.8490355787853864</v>
      </c>
    </row>
    <row r="7" spans="5:8" ht="15">
      <c r="E7" s="467" t="s">
        <v>349</v>
      </c>
      <c r="G7" s="468">
        <f>IF(G6&gt;0.85*G2,0.85*G2,G6)</f>
        <v>3200100</v>
      </c>
      <c r="H7" s="469">
        <f>G12</f>
        <v>0.8490355787853864</v>
      </c>
    </row>
    <row r="8" spans="5:8" ht="15">
      <c r="E8" s="467" t="s">
        <v>350</v>
      </c>
      <c r="G8" s="468">
        <f>G6-G7</f>
        <v>0</v>
      </c>
      <c r="H8" s="469">
        <f>G8/G2</f>
        <v>0</v>
      </c>
    </row>
    <row r="10" ht="15">
      <c r="C10" s="468"/>
    </row>
    <row r="11" ht="15">
      <c r="C11" s="468"/>
    </row>
    <row r="12" spans="5:7" ht="15">
      <c r="E12" s="467" t="s">
        <v>348</v>
      </c>
      <c r="G12" s="469">
        <f>IF(G6&gt;0.85*G2,0.85,G6/G2)</f>
        <v>0.8490355787853864</v>
      </c>
    </row>
    <row r="13" spans="5:7" ht="15">
      <c r="E13" s="467" t="s">
        <v>232</v>
      </c>
      <c r="G13" s="469">
        <f>IF(G7&gt;0.7*G2,2%,1%)</f>
        <v>0.02</v>
      </c>
    </row>
    <row r="16" spans="6:9" ht="15">
      <c r="F16" s="467" t="s">
        <v>351</v>
      </c>
      <c r="G16" s="467" t="s">
        <v>352</v>
      </c>
      <c r="H16" s="467" t="s">
        <v>353</v>
      </c>
      <c r="I16" s="467" t="s">
        <v>354</v>
      </c>
    </row>
    <row r="17" spans="3:9" ht="15">
      <c r="C17" s="264" t="s">
        <v>361</v>
      </c>
      <c r="D17" s="265"/>
      <c r="E17" s="470"/>
      <c r="F17" s="471">
        <f>IF(G2*0.5&lt;G6,G2*0.5,G6)</f>
        <v>1884550</v>
      </c>
      <c r="G17" s="284">
        <f>F17*2/100</f>
        <v>37691</v>
      </c>
      <c r="H17" s="152">
        <f>F17*G13</f>
        <v>37691</v>
      </c>
      <c r="I17" s="152">
        <f>SUM(G17:H17)</f>
        <v>75382</v>
      </c>
    </row>
    <row r="18" spans="3:9" ht="15">
      <c r="C18" s="264" t="s">
        <v>362</v>
      </c>
      <c r="D18" s="265"/>
      <c r="E18" s="276" t="s">
        <v>12</v>
      </c>
      <c r="F18" s="388">
        <f>G7-F17</f>
        <v>1315550</v>
      </c>
      <c r="G18" s="152">
        <f>F18*2/100</f>
        <v>26311</v>
      </c>
      <c r="H18" s="152">
        <f>F18*G13</f>
        <v>26311</v>
      </c>
      <c r="I18" s="152">
        <f>SUM(G18:H18)</f>
        <v>52622</v>
      </c>
    </row>
    <row r="19" spans="3:9" ht="15">
      <c r="C19" s="264" t="s">
        <v>363</v>
      </c>
      <c r="D19" s="286"/>
      <c r="E19" s="472">
        <f>'Kalkyl-Boende'!D32</f>
        <v>0.8490355787853864</v>
      </c>
      <c r="F19" s="473">
        <f>SUM(F17:F18)</f>
        <v>3200100</v>
      </c>
      <c r="G19" s="474">
        <f>SUM(G17:G18)</f>
        <v>64002</v>
      </c>
      <c r="H19" s="474">
        <f>SUM(H17:H18)</f>
        <v>64002</v>
      </c>
      <c r="I19" s="474">
        <f>SUM(I17:I18)</f>
        <v>128004</v>
      </c>
    </row>
    <row r="20" spans="3:9" ht="15">
      <c r="C20" s="136" t="s">
        <v>364</v>
      </c>
      <c r="D20" s="176"/>
      <c r="E20" s="406"/>
      <c r="F20" s="475">
        <f>G8</f>
        <v>0</v>
      </c>
      <c r="G20" s="284">
        <f>F20*6/100</f>
        <v>0</v>
      </c>
      <c r="H20" s="152">
        <f>F20*10/100</f>
        <v>0</v>
      </c>
      <c r="I20" s="152">
        <f>SUM(G20:H20)</f>
        <v>0</v>
      </c>
    </row>
    <row r="21" spans="3:9" ht="15">
      <c r="C21" s="136" t="s">
        <v>355</v>
      </c>
      <c r="D21" s="477"/>
      <c r="E21" s="478"/>
      <c r="F21" s="479">
        <f>SUM(F19:F20)</f>
        <v>3200100</v>
      </c>
      <c r="G21" s="479">
        <f>SUM(G19:G20)</f>
        <v>64002</v>
      </c>
      <c r="H21" s="479">
        <f>SUM(H19:H20)</f>
        <v>64002</v>
      </c>
      <c r="I21" s="479">
        <f>SUM(I19:I20)</f>
        <v>128004</v>
      </c>
    </row>
    <row r="22" spans="3:9" ht="15">
      <c r="C22" s="136" t="s">
        <v>365</v>
      </c>
      <c r="D22" s="477"/>
      <c r="E22" s="478"/>
      <c r="F22" s="479">
        <f>G5</f>
        <v>0</v>
      </c>
      <c r="G22" s="480"/>
      <c r="H22" s="480"/>
      <c r="I22" s="481"/>
    </row>
    <row r="23" spans="3:9" ht="15">
      <c r="C23" s="517" t="s">
        <v>366</v>
      </c>
      <c r="D23" s="516"/>
      <c r="E23" s="502">
        <f>'Kalkyl-Boende'!D35</f>
        <v>0.15096442121461356</v>
      </c>
      <c r="F23" s="130">
        <f>G4</f>
        <v>569000</v>
      </c>
      <c r="G23" s="291"/>
      <c r="H23" s="291"/>
      <c r="I23" s="292"/>
    </row>
    <row r="24" spans="3:9" ht="15">
      <c r="C24" s="518" t="s">
        <v>367</v>
      </c>
      <c r="D24" s="297"/>
      <c r="E24" s="191"/>
      <c r="F24" s="152">
        <f>SUM(F21:F23)</f>
        <v>3769100</v>
      </c>
      <c r="G24" s="199">
        <f>G21</f>
        <v>64002</v>
      </c>
      <c r="H24" s="199">
        <f>H21</f>
        <v>64002</v>
      </c>
      <c r="I24" s="482">
        <f>I21</f>
        <v>128004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Kalkyl....</dc:title>
  <dc:subject/>
  <dc:creator>Sjölin Linda</dc:creator>
  <cp:keywords/>
  <dc:description/>
  <cp:lastModifiedBy>Bernardin Erica</cp:lastModifiedBy>
  <cp:lastPrinted>2020-10-12T13:50:50Z</cp:lastPrinted>
  <dcterms:created xsi:type="dcterms:W3CDTF">2011-01-10T08:22:44Z</dcterms:created>
  <dcterms:modified xsi:type="dcterms:W3CDTF">2023-04-04T11:47:19Z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TagTwo">
    <vt:lpwstr>546;#Kalkyl|ae9a9d98-ab73-44cb-910c-9d6e57be102a</vt:lpwstr>
  </property>
  <property fmtid="{D5CDD505-2E9C-101B-9397-08002B2CF9AE}" pid="3" name="DocumentTagOne">
    <vt:lpwstr>13;#Avtal|f2a52a04-14e3-4516-932f-e1b0d911afdd</vt:lpwstr>
  </property>
  <property fmtid="{D5CDD505-2E9C-101B-9397-08002B2CF9AE}" pid="4" name="Länk till dokument">
    <vt:lpwstr>Lime</vt:lpwstr>
  </property>
  <property fmtid="{D5CDD505-2E9C-101B-9397-08002B2CF9AE}" pid="5" name="Kommentar 1">
    <vt:lpwstr>Saknar nya USP:ar i offertdelen (sid 2 och 3)</vt:lpwstr>
  </property>
  <property fmtid="{D5CDD505-2E9C-101B-9397-08002B2CF9AE}" pid="6" name="KOmmentar 3">
    <vt:lpwstr/>
  </property>
  <property fmtid="{D5CDD505-2E9C-101B-9397-08002B2CF9AE}" pid="7" name="Flödesordning">
    <vt:lpwstr>2 = Offert/avtalshandlingar</vt:lpwstr>
  </property>
  <property fmtid="{D5CDD505-2E9C-101B-9397-08002B2CF9AE}" pid="8" name="Kommentar 2">
    <vt:lpwstr/>
  </property>
  <property fmtid="{D5CDD505-2E9C-101B-9397-08002B2CF9AE}" pid="9" name="Prioritet">
    <vt:lpwstr>(2) Normal</vt:lpwstr>
  </property>
  <property fmtid="{D5CDD505-2E9C-101B-9397-08002B2CF9AE}" pid="10" name="Status">
    <vt:lpwstr>Godkänt och klar för pubilcering i Lime</vt:lpwstr>
  </property>
  <property fmtid="{D5CDD505-2E9C-101B-9397-08002B2CF9AE}" pid="11" name="display_urn:schemas-microsoft-com:office:office#Ansvarig">
    <vt:lpwstr>Landegren Anna</vt:lpwstr>
  </property>
  <property fmtid="{D5CDD505-2E9C-101B-9397-08002B2CF9AE}" pid="12" name="Ansvarig">
    <vt:lpwstr>99</vt:lpwstr>
  </property>
  <property fmtid="{D5CDD505-2E9C-101B-9397-08002B2CF9AE}" pid="13" name="TaxCatchAll">
    <vt:lpwstr>546;#;#13;#</vt:lpwstr>
  </property>
  <property fmtid="{D5CDD505-2E9C-101B-9397-08002B2CF9AE}" pid="14" name="DocumentTagOneTaxHTField0">
    <vt:lpwstr>Avtal|f2a52a04-14e3-4516-932f-e1b0d911afdd</vt:lpwstr>
  </property>
  <property fmtid="{D5CDD505-2E9C-101B-9397-08002B2CF9AE}" pid="15" name="DocumentTagTwoTaxHTField0">
    <vt:lpwstr>Kalkyl|ae9a9d98-ab73-44cb-910c-9d6e57be102a</vt:lpwstr>
  </property>
</Properties>
</file>