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bosonline-my.sharepoint.com/personal/erica_bernardin_smalandsvillan_se/Documents/Dokumenter/KALKYLER/2026/Havstenshult Villa Smedby/"/>
    </mc:Choice>
  </mc:AlternateContent>
  <xr:revisionPtr revIDLastSave="27" documentId="8_{9627C88E-6C89-4F2E-BD67-34172ED7D4DE}" xr6:coauthVersionLast="47" xr6:coauthVersionMax="47" xr10:uidLastSave="{F45940A4-41FC-498F-A68D-46AEEF24CD7D}"/>
  <bookViews>
    <workbookView xWindow="28665" yWindow="-255" windowWidth="29070" windowHeight="15750" tabRatio="696" xr2:uid="{00000000-000D-0000-FFFF-FFFF00000000}"/>
  </bookViews>
  <sheets>
    <sheet name="Produktionskostnadskalkyl" sheetId="1" r:id="rId1"/>
    <sheet name="Tillval" sheetId="2" r:id="rId2"/>
    <sheet name="Blad1" sheetId="3" state="hidden" r:id="rId3"/>
    <sheet name="Bokalkyl" sheetId="4" r:id="rId4"/>
    <sheet name="Driftkostnad" sheetId="5" r:id="rId5"/>
    <sheet name="Kalkyl kontroll" sheetId="6" r:id="rId6"/>
  </sheets>
  <definedNames>
    <definedName name="_xlnm.Print_Area" localSheetId="3">Bokalkyl!$A$1:$H$58</definedName>
    <definedName name="_xlnm.Print_Area" localSheetId="5">'Kalkyl kontroll'!$A$1:$H$57</definedName>
    <definedName name="_xlnm.Print_Area" localSheetId="0">Produktionskostnadskalkyl!$A$1:$H$66</definedName>
    <definedName name="_xlnm.Print_Area" localSheetId="1">Tillval!$A$1:$I$47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6" l="1"/>
  <c r="G51" i="6"/>
  <c r="F50" i="6"/>
  <c r="E50" i="6"/>
  <c r="E51" i="6" s="1"/>
  <c r="D50" i="6"/>
  <c r="D51" i="6" s="1"/>
  <c r="C50" i="6"/>
  <c r="C51" i="6" s="1"/>
  <c r="F49" i="6"/>
  <c r="E49" i="6"/>
  <c r="C49" i="6"/>
  <c r="H48" i="6"/>
  <c r="G48" i="6"/>
  <c r="J47" i="6"/>
  <c r="B46" i="6"/>
  <c r="J45" i="6"/>
  <c r="D45" i="6"/>
  <c r="D49" i="6" s="1"/>
  <c r="J43" i="6"/>
  <c r="H43" i="6"/>
  <c r="G43" i="6"/>
  <c r="F42" i="6"/>
  <c r="E42" i="6"/>
  <c r="D42" i="6"/>
  <c r="C42" i="6"/>
  <c r="F41" i="6"/>
  <c r="E41" i="6"/>
  <c r="D41" i="6"/>
  <c r="C41" i="6"/>
  <c r="F40" i="6"/>
  <c r="E40" i="6"/>
  <c r="D40" i="6"/>
  <c r="C40" i="6"/>
  <c r="F39" i="6"/>
  <c r="E39" i="6"/>
  <c r="D39" i="6"/>
  <c r="C39" i="6"/>
  <c r="F38" i="6"/>
  <c r="E38" i="6"/>
  <c r="D38" i="6"/>
  <c r="C38" i="6"/>
  <c r="F37" i="6"/>
  <c r="E37" i="6"/>
  <c r="D37" i="6"/>
  <c r="C37" i="6"/>
  <c r="F36" i="6"/>
  <c r="E36" i="6"/>
  <c r="D36" i="6"/>
  <c r="C36" i="6"/>
  <c r="F35" i="6"/>
  <c r="E35" i="6"/>
  <c r="D35" i="6"/>
  <c r="C35" i="6"/>
  <c r="F34" i="6"/>
  <c r="E34" i="6"/>
  <c r="D34" i="6"/>
  <c r="C34" i="6"/>
  <c r="F33" i="6"/>
  <c r="E33" i="6"/>
  <c r="D33" i="6"/>
  <c r="C33" i="6"/>
  <c r="F32" i="6"/>
  <c r="E32" i="6"/>
  <c r="D32" i="6"/>
  <c r="C32" i="6"/>
  <c r="F31" i="6"/>
  <c r="E31" i="6"/>
  <c r="D31" i="6"/>
  <c r="C31" i="6"/>
  <c r="F30" i="6"/>
  <c r="E30" i="6"/>
  <c r="D30" i="6"/>
  <c r="C30" i="6"/>
  <c r="F29" i="6"/>
  <c r="E29" i="6"/>
  <c r="D29" i="6"/>
  <c r="C29" i="6"/>
  <c r="F28" i="6"/>
  <c r="E28" i="6"/>
  <c r="D28" i="6"/>
  <c r="C28" i="6"/>
  <c r="F26" i="6"/>
  <c r="E26" i="6"/>
  <c r="D26" i="6"/>
  <c r="C26" i="6"/>
  <c r="H24" i="6"/>
  <c r="G24" i="6"/>
  <c r="F23" i="6"/>
  <c r="E23" i="6"/>
  <c r="D23" i="6"/>
  <c r="C23" i="6"/>
  <c r="F22" i="6"/>
  <c r="E22" i="6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D25" i="6" s="1"/>
  <c r="C15" i="6"/>
  <c r="C25" i="6" s="1"/>
  <c r="H13" i="6"/>
  <c r="H52" i="6" s="1"/>
  <c r="G13" i="6"/>
  <c r="G52" i="6" s="1"/>
  <c r="G53" i="6" s="1"/>
  <c r="E12" i="6"/>
  <c r="D12" i="6"/>
  <c r="C12" i="6"/>
  <c r="F11" i="6"/>
  <c r="E11" i="6"/>
  <c r="D11" i="6"/>
  <c r="C11" i="6"/>
  <c r="F10" i="6"/>
  <c r="E10" i="6"/>
  <c r="E14" i="6" s="1"/>
  <c r="D10" i="6"/>
  <c r="D14" i="6" s="1"/>
  <c r="C10" i="6"/>
  <c r="C14" i="6" s="1"/>
  <c r="G7" i="6"/>
  <c r="E7" i="6"/>
  <c r="C5" i="6"/>
  <c r="G4" i="6"/>
  <c r="C4" i="6"/>
  <c r="A4" i="6"/>
  <c r="A42" i="5"/>
  <c r="I21" i="5"/>
  <c r="I20" i="5"/>
  <c r="I18" i="5"/>
  <c r="A8" i="5"/>
  <c r="F7" i="5"/>
  <c r="A7" i="5"/>
  <c r="I4" i="5"/>
  <c r="A102" i="4"/>
  <c r="K90" i="4"/>
  <c r="M88" i="4"/>
  <c r="B84" i="4"/>
  <c r="C84" i="4" s="1"/>
  <c r="D84" i="4" s="1"/>
  <c r="E84" i="4" s="1"/>
  <c r="F84" i="4" s="1"/>
  <c r="G84" i="4" s="1"/>
  <c r="B74" i="4"/>
  <c r="H73" i="4"/>
  <c r="H72" i="4"/>
  <c r="H64" i="4"/>
  <c r="T48" i="4"/>
  <c r="Z44" i="4"/>
  <c r="K43" i="4"/>
  <c r="H42" i="4"/>
  <c r="V41" i="4"/>
  <c r="H41" i="4"/>
  <c r="V40" i="4"/>
  <c r="V39" i="4"/>
  <c r="Q39" i="4"/>
  <c r="V38" i="4"/>
  <c r="V37" i="4"/>
  <c r="E34" i="4"/>
  <c r="S33" i="4"/>
  <c r="R33" i="4"/>
  <c r="T33" i="4" s="1"/>
  <c r="G33" i="4"/>
  <c r="F33" i="4"/>
  <c r="T31" i="4"/>
  <c r="S30" i="4"/>
  <c r="R30" i="4"/>
  <c r="R24" i="4"/>
  <c r="Q24" i="4"/>
  <c r="L24" i="4"/>
  <c r="L23" i="4"/>
  <c r="L22" i="4"/>
  <c r="H22" i="4"/>
  <c r="F18" i="4"/>
  <c r="B78" i="4" s="1"/>
  <c r="F16" i="4"/>
  <c r="D16" i="4"/>
  <c r="A16" i="4"/>
  <c r="E72" i="4" s="1"/>
  <c r="R13" i="4"/>
  <c r="A13" i="4"/>
  <c r="B73" i="4" s="1"/>
  <c r="T11" i="4"/>
  <c r="Y44" i="4" s="1"/>
  <c r="A11" i="4"/>
  <c r="B72" i="4" s="1"/>
  <c r="H6" i="4"/>
  <c r="D7" i="3"/>
  <c r="A47" i="2"/>
  <c r="H46" i="2"/>
  <c r="F12" i="1" s="1"/>
  <c r="F8" i="2"/>
  <c r="C8" i="2"/>
  <c r="A8" i="2"/>
  <c r="H6" i="2"/>
  <c r="C6" i="2"/>
  <c r="H5" i="2"/>
  <c r="F5" i="2"/>
  <c r="C5" i="2"/>
  <c r="A5" i="2"/>
  <c r="E61" i="1"/>
  <c r="D61" i="1"/>
  <c r="C61" i="1"/>
  <c r="G61" i="1" s="1"/>
  <c r="E57" i="1"/>
  <c r="C57" i="1"/>
  <c r="F31" i="1"/>
  <c r="E31" i="1"/>
  <c r="D31" i="1"/>
  <c r="C31" i="1"/>
  <c r="F29" i="1"/>
  <c r="E29" i="1"/>
  <c r="D29" i="1"/>
  <c r="C29" i="1"/>
  <c r="G29" i="1" s="1"/>
  <c r="F28" i="1"/>
  <c r="E28" i="1"/>
  <c r="D28" i="1"/>
  <c r="C28" i="1"/>
  <c r="E14" i="1"/>
  <c r="D14" i="1"/>
  <c r="C14" i="1"/>
  <c r="E25" i="6" l="1"/>
  <c r="F25" i="6"/>
  <c r="I31" i="5"/>
  <c r="I33" i="5" s="1"/>
  <c r="H40" i="4" s="1"/>
  <c r="B88" i="4" s="1"/>
  <c r="C88" i="4" s="1"/>
  <c r="D88" i="4" s="1"/>
  <c r="E88" i="4" s="1"/>
  <c r="F88" i="4" s="1"/>
  <c r="G88" i="4" s="1"/>
  <c r="F12" i="6"/>
  <c r="F14" i="6" s="1"/>
  <c r="F14" i="1"/>
  <c r="G14" i="1" s="1"/>
  <c r="C27" i="6"/>
  <c r="C51" i="1"/>
  <c r="D27" i="6"/>
  <c r="D51" i="1"/>
  <c r="E27" i="6"/>
  <c r="E44" i="6" s="1"/>
  <c r="E51" i="1"/>
  <c r="F27" i="6"/>
  <c r="F44" i="6" s="1"/>
  <c r="F51" i="1"/>
  <c r="U22" i="4"/>
  <c r="T22" i="4"/>
  <c r="U21" i="4"/>
  <c r="T21" i="4"/>
  <c r="U20" i="4"/>
  <c r="T20" i="4"/>
  <c r="U19" i="4"/>
  <c r="T19" i="4"/>
  <c r="U18" i="4"/>
  <c r="T18" i="4"/>
  <c r="F8" i="5"/>
  <c r="E73" i="4"/>
  <c r="F10" i="5"/>
  <c r="B77" i="4"/>
  <c r="R41" i="4"/>
  <c r="R40" i="4"/>
  <c r="S41" i="4"/>
  <c r="S40" i="4"/>
  <c r="Q25" i="4"/>
  <c r="W47" i="4"/>
  <c r="S42" i="4" s="1"/>
  <c r="R25" i="4"/>
  <c r="R32" i="4"/>
  <c r="T30" i="4"/>
  <c r="S32" i="4"/>
  <c r="L48" i="4"/>
  <c r="L47" i="4"/>
  <c r="L46" i="4"/>
  <c r="L45" i="4"/>
  <c r="L44" i="4"/>
  <c r="L43" i="4"/>
  <c r="L50" i="4" s="1"/>
  <c r="M50" i="4" s="1"/>
  <c r="T47" i="4" s="1"/>
  <c r="K91" i="4"/>
  <c r="K92" i="4" s="1"/>
  <c r="K93" i="4" s="1"/>
  <c r="K94" i="4" s="1"/>
  <c r="C44" i="6"/>
  <c r="D44" i="6"/>
  <c r="T32" i="4" l="1"/>
  <c r="Z40" i="4"/>
  <c r="Y34" i="4"/>
  <c r="Z41" i="4" s="1"/>
  <c r="S34" i="4"/>
  <c r="S35" i="4" s="1"/>
  <c r="Z39" i="4"/>
  <c r="Z38" i="4"/>
  <c r="Y40" i="4"/>
  <c r="R34" i="4"/>
  <c r="Y33" i="4"/>
  <c r="Y41" i="4" s="1"/>
  <c r="V47" i="4" s="1"/>
  <c r="R42" i="4" s="1"/>
  <c r="T42" i="4" s="1"/>
  <c r="Y39" i="4"/>
  <c r="Y38" i="4"/>
  <c r="T40" i="4"/>
  <c r="T41" i="4"/>
  <c r="G52" i="1"/>
  <c r="J51" i="1" s="1"/>
  <c r="D53" i="1" s="1"/>
  <c r="H20" i="4"/>
  <c r="J53" i="1"/>
  <c r="B79" i="4" l="1"/>
  <c r="J55" i="1"/>
  <c r="D54" i="1" s="1"/>
  <c r="T34" i="4"/>
  <c r="R35" i="4"/>
  <c r="S39" i="4"/>
  <c r="S38" i="4"/>
  <c r="S37" i="4"/>
  <c r="S43" i="4" s="1"/>
  <c r="D46" i="6" l="1"/>
  <c r="D55" i="1"/>
  <c r="D57" i="1" s="1"/>
  <c r="G57" i="1" s="1"/>
  <c r="S51" i="4"/>
  <c r="S44" i="4"/>
  <c r="S45" i="4" s="1"/>
  <c r="R39" i="4"/>
  <c r="T39" i="4" s="1"/>
  <c r="R38" i="4"/>
  <c r="T38" i="4" s="1"/>
  <c r="R37" i="4"/>
  <c r="T35" i="4"/>
  <c r="D47" i="6" l="1"/>
  <c r="G63" i="1"/>
  <c r="C54" i="6" s="1"/>
  <c r="G54" i="6" s="1"/>
  <c r="H21" i="4"/>
  <c r="H23" i="4" s="1"/>
  <c r="R43" i="4"/>
  <c r="T37" i="4"/>
  <c r="T43" i="4" s="1"/>
  <c r="R51" i="4" l="1"/>
  <c r="R44" i="4"/>
  <c r="F75" i="4"/>
  <c r="G89" i="4" s="1"/>
  <c r="E35" i="4"/>
  <c r="H26" i="4"/>
  <c r="H25" i="4"/>
  <c r="D6" i="3"/>
  <c r="D9" i="3" l="1"/>
  <c r="D34" i="4"/>
  <c r="A37" i="4" s="1"/>
  <c r="D5" i="3"/>
  <c r="R45" i="4"/>
  <c r="T44" i="4"/>
  <c r="T45" i="4" s="1"/>
  <c r="D11" i="3" l="1"/>
  <c r="D10" i="3"/>
  <c r="F14" i="3" l="1"/>
  <c r="D14" i="3" s="1"/>
  <c r="G11" i="3"/>
  <c r="D12" i="3"/>
  <c r="D31" i="4" s="1"/>
  <c r="D13" i="3"/>
  <c r="D19" i="3" s="1"/>
  <c r="E32" i="4" s="1"/>
  <c r="D32" i="4" s="1"/>
  <c r="D17" i="3"/>
  <c r="D23" i="4" l="1"/>
  <c r="D22" i="4"/>
  <c r="E29" i="4"/>
  <c r="D18" i="3"/>
  <c r="G32" i="4"/>
  <c r="F32" i="4"/>
  <c r="H32" i="4" l="1"/>
  <c r="G29" i="4"/>
  <c r="E30" i="4"/>
  <c r="E31" i="4" s="1"/>
  <c r="D20" i="3"/>
  <c r="F29" i="4"/>
  <c r="F30" i="4" l="1"/>
  <c r="F31" i="4" s="1"/>
  <c r="F35" i="4" s="1"/>
  <c r="G30" i="4"/>
  <c r="H29" i="4"/>
  <c r="AH36" i="4"/>
  <c r="K30" i="4"/>
  <c r="G31" i="4" l="1"/>
  <c r="E86" i="4" s="1"/>
  <c r="E90" i="4" s="1"/>
  <c r="H30" i="4"/>
  <c r="H31" i="4" s="1"/>
  <c r="H35" i="4" s="1"/>
  <c r="H39" i="4" s="1"/>
  <c r="H43" i="4" s="1"/>
  <c r="H47" i="4" s="1"/>
  <c r="B86" i="4"/>
  <c r="H44" i="4"/>
  <c r="D86" i="4" l="1"/>
  <c r="D90" i="4" s="1"/>
  <c r="F86" i="4"/>
  <c r="F90" i="4" s="1"/>
  <c r="G86" i="4"/>
  <c r="G90" i="4" s="1"/>
  <c r="G35" i="4"/>
  <c r="C86" i="4"/>
  <c r="C90" i="4" s="1"/>
  <c r="H45" i="4"/>
  <c r="T46" i="4" s="1"/>
  <c r="T49" i="4" s="1"/>
  <c r="T50" i="4" s="1"/>
  <c r="V50" i="4" s="1"/>
  <c r="H50" i="4" s="1"/>
  <c r="B90" i="4"/>
  <c r="H48" i="4" l="1"/>
  <c r="H49" i="4"/>
  <c r="B85" i="4"/>
  <c r="C85" i="4" l="1"/>
  <c r="B91" i="4"/>
  <c r="D85" i="4" l="1"/>
  <c r="C91" i="4"/>
  <c r="B92" i="4"/>
  <c r="B94" i="4"/>
  <c r="D91" i="4" l="1"/>
  <c r="E85" i="4"/>
  <c r="C94" i="4"/>
  <c r="C92" i="4"/>
  <c r="C93" i="4" s="1"/>
  <c r="D94" i="4" l="1"/>
  <c r="D92" i="4"/>
  <c r="E91" i="4"/>
  <c r="F85" i="4"/>
  <c r="G85" i="4" l="1"/>
  <c r="G91" i="4" s="1"/>
  <c r="F91" i="4"/>
  <c r="E94" i="4"/>
  <c r="E92" i="4"/>
  <c r="D93" i="4"/>
  <c r="F94" i="4" l="1"/>
  <c r="F92" i="4"/>
  <c r="G94" i="4"/>
  <c r="G92" i="4"/>
  <c r="E93" i="4"/>
  <c r="G93" i="4" l="1"/>
  <c r="F93" i="4"/>
</calcChain>
</file>

<file path=xl/sharedStrings.xml><?xml version="1.0" encoding="utf-8"?>
<sst xmlns="http://schemas.openxmlformats.org/spreadsheetml/2006/main" count="458" uniqueCount="350">
  <si>
    <t>Produktionskostnadskalkyl</t>
  </si>
  <si>
    <t>Kalkyl nr</t>
  </si>
  <si>
    <t>Upprättad av</t>
  </si>
  <si>
    <t>Köpare</t>
  </si>
  <si>
    <t>Datum</t>
  </si>
  <si>
    <t>Fastighetsbeteckning</t>
  </si>
  <si>
    <t>Hustyp</t>
  </si>
  <si>
    <t>Sidobyggnad</t>
  </si>
  <si>
    <t>Kommun</t>
  </si>
  <si>
    <t xml:space="preserve"> KOSTNAD FÖR</t>
  </si>
  <si>
    <t>Säljarens åtagande</t>
  </si>
  <si>
    <t>Annat skriftligt anbud/avtal</t>
  </si>
  <si>
    <t>Köparens uppgifter</t>
  </si>
  <si>
    <t>Säljarens uppskattning</t>
  </si>
  <si>
    <t>Anm/specifikation (ev detaljer i bilaga)</t>
  </si>
  <si>
    <t xml:space="preserve">Hus totalentreprenad </t>
  </si>
  <si>
    <t>Villa Smedby - Kampanj 100 000kr rabatt</t>
  </si>
  <si>
    <t>Tillval och utbyten</t>
  </si>
  <si>
    <t>Se tillvalslista</t>
  </si>
  <si>
    <t>SUMMA</t>
  </si>
  <si>
    <t xml:space="preserve"> </t>
  </si>
  <si>
    <t>Delsumma</t>
  </si>
  <si>
    <t>SÄLJARENS ÅTAGANDE</t>
  </si>
  <si>
    <t>Tillkommande material</t>
  </si>
  <si>
    <t>Schakt, grundläggning - markentreprenad</t>
  </si>
  <si>
    <t>Montering</t>
  </si>
  <si>
    <t>Ingår, enl. leveransbeskrivning</t>
  </si>
  <si>
    <t>Övriga byggnadsarbeten</t>
  </si>
  <si>
    <t>Värme och Sanitetsinstallation</t>
  </si>
  <si>
    <t>El-installation</t>
  </si>
  <si>
    <t>Invändigt målningsarbete</t>
  </si>
  <si>
    <t>Golvbeläggning</t>
  </si>
  <si>
    <t>Grundoljning &amp; grundmålning</t>
  </si>
  <si>
    <t>Container</t>
  </si>
  <si>
    <t>Kakel och klinker - tillläggskostnad</t>
  </si>
  <si>
    <t>Övrigt</t>
  </si>
  <si>
    <t>Eventuella tillkommande arbeten</t>
  </si>
  <si>
    <t>SUMMA BYGGNADSKOSTNADER</t>
  </si>
  <si>
    <t>MATERIAL OCH ARBETE</t>
  </si>
  <si>
    <t>Tomt kostnad.</t>
  </si>
  <si>
    <t>Lagfart</t>
  </si>
  <si>
    <t xml:space="preserve">1,5% av tomtvärde/taxeringsvärde+adm. avg. </t>
  </si>
  <si>
    <t>Nybyggn, karta, bygglov</t>
  </si>
  <si>
    <t>Myndighetskostnader.</t>
  </si>
  <si>
    <t>Gatukostnad</t>
  </si>
  <si>
    <t>Anslutning VA</t>
  </si>
  <si>
    <t>Anslutning Fiber</t>
  </si>
  <si>
    <t>Nyanslutning av fiber.</t>
  </si>
  <si>
    <t>Anslutning EL</t>
  </si>
  <si>
    <t>Nyanslutning av el</t>
  </si>
  <si>
    <t>Omlastning / intransport</t>
  </si>
  <si>
    <t>Krankostnad</t>
  </si>
  <si>
    <t>Anslutning Fjärrvärme/Gas</t>
  </si>
  <si>
    <t>Geoteknisk undersökning</t>
  </si>
  <si>
    <t>Verifiering av markpåkänning</t>
  </si>
  <si>
    <t>Rivning</t>
  </si>
  <si>
    <t>Tillkommande markarbeten</t>
  </si>
  <si>
    <t>Inväntar offert från grundentreprenör. Tillkommande arbeten</t>
  </si>
  <si>
    <t>Utsättning och lägeskontroll</t>
  </si>
  <si>
    <t>Byggström</t>
  </si>
  <si>
    <t>Uppskattat beroende på årstid</t>
  </si>
  <si>
    <t>Kontrollansvarig enl. PBL</t>
  </si>
  <si>
    <t>Kontrollansvarig.</t>
  </si>
  <si>
    <t>Sotarintyg</t>
  </si>
  <si>
    <t xml:space="preserve">Övrigt </t>
  </si>
  <si>
    <t>Utv. färdigmålning material.</t>
  </si>
  <si>
    <t>Färdigställande-,nybyggnads-&amp;villahemförsäkring</t>
  </si>
  <si>
    <t>Besiktingsman utsedd av Garbo</t>
  </si>
  <si>
    <t>Uträkn.stöd</t>
  </si>
  <si>
    <t>SUMMA  BYGGHERREKOSTNADER</t>
  </si>
  <si>
    <t>För pantbrev</t>
  </si>
  <si>
    <t>TOMT OCH AVGIFTER</t>
  </si>
  <si>
    <t>Pantbrev och grav.bevis</t>
  </si>
  <si>
    <t>2% av lånebehovet</t>
  </si>
  <si>
    <t>Entrkostn.</t>
  </si>
  <si>
    <t>Räntor och bankavg, ränta%</t>
  </si>
  <si>
    <t>Skattereduktion 30%</t>
  </si>
  <si>
    <t>Tomtkostnader</t>
  </si>
  <si>
    <t>LÅNEKOSTNADER</t>
  </si>
  <si>
    <t>Uppräkn m h t byggtidp.</t>
  </si>
  <si>
    <t>Direkt insatt kapital/kontantdel (Påverkar endast kreditivräntan)</t>
  </si>
  <si>
    <t xml:space="preserve">SUMMA </t>
  </si>
  <si>
    <t>ÖVRIGT</t>
  </si>
  <si>
    <t>TOTALKOSTNAD</t>
  </si>
  <si>
    <t>TOTALT KRONOR</t>
  </si>
  <si>
    <t xml:space="preserve">Anm. Säljarens uppskattningar är ej bindande för säljaren. </t>
  </si>
  <si>
    <t>SPECIFIKATION ÖVER TILLVAL</t>
  </si>
  <si>
    <t>T I L L V A L</t>
  </si>
  <si>
    <t>totalt</t>
  </si>
  <si>
    <t>TOTALT TILLVAL KRONOR INKL. MERVÄRDESKATT</t>
  </si>
  <si>
    <t>Hjälpreda</t>
  </si>
  <si>
    <t>Värdering</t>
  </si>
  <si>
    <t>Total prod kostn</t>
  </si>
  <si>
    <t>kontant</t>
  </si>
  <si>
    <t>eget arb</t>
  </si>
  <si>
    <t>ef lån</t>
  </si>
  <si>
    <t>belåningsgrad</t>
  </si>
  <si>
    <t>bottenlån max 85%</t>
  </si>
  <si>
    <t>Bottenl belåningsgrad</t>
  </si>
  <si>
    <t>Tilläggslån</t>
  </si>
  <si>
    <t>amotering %</t>
  </si>
  <si>
    <t>Bottenlån 1 max 50%</t>
  </si>
  <si>
    <t>Bottenlån 2 max 85 %</t>
  </si>
  <si>
    <t>Summa lån</t>
  </si>
  <si>
    <t>HJÄLP-BERÄKNINGAR SOM EJ SKALL RÖRAS</t>
  </si>
  <si>
    <t>OBS! ENDAST VITA RUTOR SKALL KORRIGERAS VID SKATTEFÖRÄNDRINGAR</t>
  </si>
  <si>
    <t>Försäljningskontor:</t>
  </si>
  <si>
    <t xml:space="preserve">       </t>
  </si>
  <si>
    <t xml:space="preserve">                </t>
  </si>
  <si>
    <t>Tel:</t>
  </si>
  <si>
    <t xml:space="preserve">  </t>
  </si>
  <si>
    <t xml:space="preserve"> Datum</t>
  </si>
  <si>
    <t xml:space="preserve">            </t>
  </si>
  <si>
    <t xml:space="preserve">          </t>
  </si>
  <si>
    <t xml:space="preserve">PRELIMINÄR KALKYL FÖR BOENDEKOSTNADER I  NYPRODUCERADE SMÅHUS ÅR </t>
  </si>
  <si>
    <t>Köpare nr 1</t>
  </si>
  <si>
    <t>Ber årslön</t>
  </si>
  <si>
    <t>Bilförmån/år</t>
  </si>
  <si>
    <t>Antal barn</t>
  </si>
  <si>
    <t>Säljare</t>
  </si>
  <si>
    <t>Sjukförsäkr</t>
  </si>
  <si>
    <t>Beräkning av grundavdrag för år</t>
  </si>
  <si>
    <t>Köpare nr 2</t>
  </si>
  <si>
    <t>Bidrag/år</t>
  </si>
  <si>
    <t>pensionstillsk</t>
  </si>
  <si>
    <t>Prisbasbelopp</t>
  </si>
  <si>
    <t>Prisbasbelopp för år 2015</t>
  </si>
  <si>
    <t>Inkomstbasbelopp</t>
  </si>
  <si>
    <t>Fastighet</t>
  </si>
  <si>
    <t>Brytpunkt 20%</t>
  </si>
  <si>
    <t xml:space="preserve">Statlig skatt </t>
  </si>
  <si>
    <t>Förutsättningar</t>
  </si>
  <si>
    <t>lön 1</t>
  </si>
  <si>
    <t>Lön 2</t>
  </si>
  <si>
    <t>BRA p</t>
  </si>
  <si>
    <t>Byggår</t>
  </si>
  <si>
    <t>Grundb.besiktn.</t>
  </si>
  <si>
    <t>Minimi skatt</t>
  </si>
  <si>
    <t>Taxerad inkomst =TI</t>
  </si>
  <si>
    <t>grundavdr</t>
  </si>
  <si>
    <t>Brytp II i %</t>
  </si>
  <si>
    <t>överst inte 0,99 pbb</t>
  </si>
  <si>
    <t>0,423 pbb</t>
  </si>
  <si>
    <t>Brytp II 5%</t>
  </si>
  <si>
    <t>mellan 0,99 o 2,72 pbb</t>
  </si>
  <si>
    <t>0,423*pbb + (TI - 0,99pbb)0,2</t>
  </si>
  <si>
    <t>Lån typ</t>
  </si>
  <si>
    <t>Ränta</t>
  </si>
  <si>
    <t>Amort</t>
  </si>
  <si>
    <t>Bind.tid</t>
  </si>
  <si>
    <t>Byggkostnad</t>
  </si>
  <si>
    <t xml:space="preserve">mellan 2,72 3,11 </t>
  </si>
  <si>
    <t>0,77*pbb</t>
  </si>
  <si>
    <t>ant. år</t>
  </si>
  <si>
    <t>Byggherrek. ansl.avg</t>
  </si>
  <si>
    <t>Beräkning av Allm pensionsavgift</t>
  </si>
  <si>
    <t>mellan 3,11 o 7,88 pbb</t>
  </si>
  <si>
    <t>0,77pbb-(TI - 3,11pbb)*0,1</t>
  </si>
  <si>
    <t>Bottenlån 1</t>
  </si>
  <si>
    <t>Tomtkostnad</t>
  </si>
  <si>
    <t>Lön 1</t>
  </si>
  <si>
    <t>över 7,88 pbb</t>
  </si>
  <si>
    <t>0,293*pbb</t>
  </si>
  <si>
    <t>Bottenlån 2</t>
  </si>
  <si>
    <t>Total prodkostn.</t>
  </si>
  <si>
    <t xml:space="preserve">Tilläggslån 1 inom 90% </t>
  </si>
  <si>
    <t>Kontantinsats</t>
  </si>
  <si>
    <t>Allm pensinonsavg  7%</t>
  </si>
  <si>
    <t>Taxerad inkomst</t>
  </si>
  <si>
    <t>Totalt lånebehov</t>
  </si>
  <si>
    <t>på 8,07% x höjt basb.</t>
  </si>
  <si>
    <t>Grundavdrag</t>
  </si>
  <si>
    <t>SAMMANSTÄLLNING FINANSIERING</t>
  </si>
  <si>
    <t>Upptagna lån</t>
  </si>
  <si>
    <t xml:space="preserve">Amort </t>
  </si>
  <si>
    <t>Summa</t>
  </si>
  <si>
    <t>Tilläggslån under 90% av värdering</t>
  </si>
  <si>
    <t>Skatteberäkning</t>
  </si>
  <si>
    <t>köpare 1</t>
  </si>
  <si>
    <t>köpare 2</t>
  </si>
  <si>
    <t xml:space="preserve">Bottenlån 2  </t>
  </si>
  <si>
    <t>Lön</t>
  </si>
  <si>
    <t>Totalt bottenlån andel i % av prod.kostn.</t>
  </si>
  <si>
    <t>Allmänna avdrag</t>
  </si>
  <si>
    <t xml:space="preserve">Tilläggslån </t>
  </si>
  <si>
    <t>Ev bilförmån besk.bar brutto</t>
  </si>
  <si>
    <t>Hjälpberäkn Jobb lön 1 över 13,54 PP</t>
  </si>
  <si>
    <t>Kontant insats i %</t>
  </si>
  <si>
    <t>D:o lön2</t>
  </si>
  <si>
    <t>Total produktionskostnad</t>
  </si>
  <si>
    <t>Beskattningsbar inkomst</t>
  </si>
  <si>
    <t>Konstanter</t>
  </si>
  <si>
    <t>lön 2</t>
  </si>
  <si>
    <t>Kommunal inkomstskatt</t>
  </si>
  <si>
    <t>under 0,91</t>
  </si>
  <si>
    <t>Statlig inkomst över brytpunkt</t>
  </si>
  <si>
    <t>0,91 - 2,94</t>
  </si>
  <si>
    <t>SEK</t>
  </si>
  <si>
    <t xml:space="preserve">Statlig skatt över </t>
  </si>
  <si>
    <t>2,94 - 8,08</t>
  </si>
  <si>
    <t>OBS! ifylles endast vid tomrätt</t>
  </si>
  <si>
    <t>Driftkostnad</t>
  </si>
  <si>
    <t xml:space="preserve">Allm pensionsavg. </t>
  </si>
  <si>
    <t>8,08 t 13,54</t>
  </si>
  <si>
    <t>Tomtpris:</t>
  </si>
  <si>
    <t>Tomrättsavg %</t>
  </si>
  <si>
    <t>Tomträttsavg.</t>
  </si>
  <si>
    <t>Beräkning av barnbidrag</t>
  </si>
  <si>
    <t>Allm pensionsavg</t>
  </si>
  <si>
    <t>över</t>
  </si>
  <si>
    <t>Samf./Vägfavg</t>
  </si>
  <si>
    <t>per mån</t>
  </si>
  <si>
    <t>per år</t>
  </si>
  <si>
    <t>Tillkommer för jobbavdrag</t>
  </si>
  <si>
    <t>Brutto kr</t>
  </si>
  <si>
    <t>Slutlig skatt</t>
  </si>
  <si>
    <t>Beräkning av Jobb avdrag</t>
  </si>
  <si>
    <t>År</t>
  </si>
  <si>
    <t>Pbb</t>
  </si>
  <si>
    <t>Skattereducering</t>
  </si>
  <si>
    <t>Vid 2 barn</t>
  </si>
  <si>
    <t>Kvar efter skatt</t>
  </si>
  <si>
    <t>Netto kr</t>
  </si>
  <si>
    <t>Vid 3 barn</t>
  </si>
  <si>
    <t>Slutligt kvar efter skatt</t>
  </si>
  <si>
    <t>Jobbavdrag</t>
  </si>
  <si>
    <t>vid 4 barn</t>
  </si>
  <si>
    <t>Boendekostnad netto efter skatt</t>
  </si>
  <si>
    <t>Månadskostnad inkl. drift och amortering</t>
  </si>
  <si>
    <t>Brutto</t>
  </si>
  <si>
    <t>vid 5 barn</t>
  </si>
  <si>
    <t>Tillkommer barnbidrag</t>
  </si>
  <si>
    <t>Netto</t>
  </si>
  <si>
    <t>mer än 5 barn</t>
  </si>
  <si>
    <t>Ev övriga obeskattade bidrag</t>
  </si>
  <si>
    <t>Varav amortering  -  eget sparande  -  per månad</t>
  </si>
  <si>
    <t>Kvar att leva på</t>
  </si>
  <si>
    <t>Hjälpruta</t>
  </si>
  <si>
    <t>Kvar att leva på efter skatt, barnbidrag och bokostn/mån</t>
  </si>
  <si>
    <t>D:o per månad</t>
  </si>
  <si>
    <t>(Prel skatt per månad)</t>
  </si>
  <si>
    <t>Anmärkning:</t>
  </si>
  <si>
    <t>Ingen fastighetsavgift utgår de första 15 åren.</t>
  </si>
  <si>
    <t>ANALYS AV BOENDEKOSTNADER FÖR DE SEX FÖRSTA ÅREN</t>
  </si>
  <si>
    <t>Köpare 1:</t>
  </si>
  <si>
    <t>Fastighet:</t>
  </si>
  <si>
    <t>Byggår:</t>
  </si>
  <si>
    <t>Köpare 2:</t>
  </si>
  <si>
    <t>Kommun:</t>
  </si>
  <si>
    <t>Grundb.bes.</t>
  </si>
  <si>
    <t>Säljare:</t>
  </si>
  <si>
    <t>Uppskattat taxvärde:</t>
  </si>
  <si>
    <t>Hustyp:</t>
  </si>
  <si>
    <t>Anmärkning: Amorteringen har antagits lika under de 6 första åren</t>
  </si>
  <si>
    <t>Sidobyggnad:</t>
  </si>
  <si>
    <t>även om serielån ger en något ökande amortering.</t>
  </si>
  <si>
    <t>PK/m2 BRAp:</t>
  </si>
  <si>
    <t>(endast byggkostn inkl moms)</t>
  </si>
  <si>
    <t>Fastighetsskatt:1,5 %</t>
  </si>
  <si>
    <t>Prognos för boendekostnader  år 1 - 6</t>
  </si>
  <si>
    <t>Amortering</t>
  </si>
  <si>
    <t>Räntor</t>
  </si>
  <si>
    <t>Driftkostn.</t>
  </si>
  <si>
    <t>Hjälptabell lön</t>
  </si>
  <si>
    <t>ökning i %</t>
  </si>
  <si>
    <t>Fast.skatt</t>
  </si>
  <si>
    <t>Skatteredukt.</t>
  </si>
  <si>
    <t>år 1</t>
  </si>
  <si>
    <t>Årskostnad</t>
  </si>
  <si>
    <t>Månadskostn</t>
  </si>
  <si>
    <t xml:space="preserve">Förändr/mån. </t>
  </si>
  <si>
    <t>Bokost % lön</t>
  </si>
  <si>
    <t>Beräknad löneökn./år</t>
  </si>
  <si>
    <t>Beräknad ökn. av driftkostn/år.</t>
  </si>
  <si>
    <t>Anm. Bottenlån omplaceras efter fem år.</t>
  </si>
  <si>
    <t>Fastighetsskatt tillkommer fr.o.m. år sex och har beräknats på 75% av produktionskostnaden.</t>
  </si>
  <si>
    <t>De första 5 åren utgår ingen fastighetsskatt, under år 6-10 utgår halv fastighetsskatt och därefter hel.</t>
  </si>
  <si>
    <t>Preliminär driftkostnad för första året</t>
  </si>
  <si>
    <t>Fastighetsbeteckning och kommun</t>
  </si>
  <si>
    <t xml:space="preserve">Förutsättning för beräkningen är en familj med 2 vuxna </t>
  </si>
  <si>
    <t>och med 2 barn i skolåldern</t>
  </si>
  <si>
    <t>Vattenförbrukning per år  prel.</t>
  </si>
  <si>
    <t>antal m3</t>
  </si>
  <si>
    <t>kostn /m3</t>
  </si>
  <si>
    <t>Totalt</t>
  </si>
  <si>
    <t>Elförbrukning per år prel. beräkn.</t>
  </si>
  <si>
    <t>antal Kwh</t>
  </si>
  <si>
    <t>kostn/Kwh</t>
  </si>
  <si>
    <t>Hushålls-El per år prel. beräkn. antal KWh</t>
  </si>
  <si>
    <t>Ev annan uppvärmning, Olja gas, fjärrvärme el. dyl.</t>
  </si>
  <si>
    <t>Sophämtning per år</t>
  </si>
  <si>
    <t>Försäkring (dock ej lösöre) per år</t>
  </si>
  <si>
    <t>Underhålls- och reparationskostnader (inga kostnader under de första åren)</t>
  </si>
  <si>
    <t>Totalt uppskattad driftkostnad per år, kronor</t>
  </si>
  <si>
    <t>Beräknad driftkostnad per år avrundat till närmsta tusental kronor:</t>
  </si>
  <si>
    <t>Kostnad för del i samfällighets-, Väg-, eller tomtägarförening o.dyl. per år</t>
  </si>
  <si>
    <t xml:space="preserve">Ort </t>
  </si>
  <si>
    <t>Övriga förutsättningar:</t>
  </si>
  <si>
    <t>Kalkyl kontroll</t>
  </si>
  <si>
    <t>Kalkylen utförd av</t>
  </si>
  <si>
    <t>Senaste Kalkyl nr</t>
  </si>
  <si>
    <t>Kontrolldatum</t>
  </si>
  <si>
    <t xml:space="preserve">                          </t>
  </si>
  <si>
    <t xml:space="preserve">Säljarens </t>
  </si>
  <si>
    <t>Annat skriftligt</t>
  </si>
  <si>
    <t>Köparens</t>
  </si>
  <si>
    <t>Säljarens</t>
  </si>
  <si>
    <t>Kalkylkontroll</t>
  </si>
  <si>
    <t>KOSTNAD FÖR</t>
  </si>
  <si>
    <t>åtagande</t>
  </si>
  <si>
    <t>anbud/avtal</t>
  </si>
  <si>
    <t>uppgifter</t>
  </si>
  <si>
    <t>uppskattning</t>
  </si>
  <si>
    <t>Bindande Avtal</t>
  </si>
  <si>
    <t>Ej Avtal</t>
  </si>
  <si>
    <t>Hus Totalentreprenad/material</t>
  </si>
  <si>
    <t>Schakt och grundläggning</t>
  </si>
  <si>
    <t>Målning och tapetsering</t>
  </si>
  <si>
    <t>Kakel/Klinker</t>
  </si>
  <si>
    <t>Nybyggn. karta,bygglov</t>
  </si>
  <si>
    <t>Omlastning</t>
  </si>
  <si>
    <t>Reserv. Berg/fyllnadsmassor</t>
  </si>
  <si>
    <t>Räntor o bankavg, rta%</t>
  </si>
  <si>
    <t>Skattereduc. D:o 30%</t>
  </si>
  <si>
    <t>SUMMA ÖVRIGT</t>
  </si>
  <si>
    <t>Kalkylkontroll delsumma</t>
  </si>
  <si>
    <t>Totalt enligt kalkyl</t>
  </si>
  <si>
    <t>Kalkyl Diff</t>
  </si>
  <si>
    <t>2024-05-08 Per Lönner</t>
  </si>
  <si>
    <t>Villa Smedby</t>
  </si>
  <si>
    <t>Stor trappa till entré</t>
  </si>
  <si>
    <t>Stor takkupa med 3 fönster på fram eller baksida</t>
  </si>
  <si>
    <t>Vitlaserad trägolv i ek , istället för trägolvet i standard ek.</t>
  </si>
  <si>
    <t>Innerdörrar Style 04N istället för vita släta</t>
  </si>
  <si>
    <t>Kök från Vedum med duolådor</t>
  </si>
  <si>
    <t>Luckan Maja i sandbeige</t>
  </si>
  <si>
    <t>Köksö med luckan Maja i sandbeige</t>
  </si>
  <si>
    <t>2år</t>
  </si>
  <si>
    <t>Erica Bernardin</t>
  </si>
  <si>
    <t>Totalentreprenad enl. leveransbeskrivning.</t>
  </si>
  <si>
    <t>VI BJUDER PÅ VA&amp;AV</t>
  </si>
  <si>
    <t>Badrum i standard med inredningsset Free 615</t>
  </si>
  <si>
    <t>Duschväggar Niagara</t>
  </si>
  <si>
    <t>Vita vitvaror från Bosch.</t>
  </si>
  <si>
    <t>Lejonet ytterdörr</t>
  </si>
  <si>
    <t>4st gavelfönster på övre plan</t>
  </si>
  <si>
    <t>Vit trappa med eklaserade steg invändigt</t>
  </si>
  <si>
    <t>Mullsjö</t>
  </si>
  <si>
    <t>Havstenshult tomt 11, Gullvivegatan 16 Mullsjö</t>
  </si>
  <si>
    <t>Havstenshult, Tomt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</si>
</sst>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kr&quot;_-;\-* #,##0\ &quot;kr&quot;_-;_-* &quot;-&quot;\ &quot;kr&quot;_-;_-@_-"/>
    <numFmt numFmtId="164" formatCode="yy/mm/dd"/>
    <numFmt numFmtId="165" formatCode="#,##0&quot; kr &quot;"/>
    <numFmt numFmtId="166" formatCode="#,##0.000"/>
    <numFmt numFmtId="167" formatCode="_-* #,##0.00&quot; kr&quot;_-;\-* #,##0.00&quot; kr&quot;_-;_-* \-??&quot; kr&quot;_-;_-@_-"/>
    <numFmt numFmtId="168" formatCode="_-* #,##0&quot; kr&quot;_-;\-* #,##0&quot; kr&quot;_-;_-* &quot;- kr&quot;_-;_-@_-"/>
    <numFmt numFmtId="169" formatCode="#,##0&quot; kr&quot;;\-#,##0&quot; kr&quot;"/>
    <numFmt numFmtId="170" formatCode="_-* #,##0\ _k_r_-;\-* #,##0\ _k_r_-;_-* &quot;-&quot;\ _k_r_-;_-@_-"/>
    <numFmt numFmtId="171" formatCode="#,##0\ &quot;kr&quot;"/>
    <numFmt numFmtId="172" formatCode="_-* #,##0\ &quot;kr&quot;_-;\-* #,##0\ &quot;kr&quot;_-;_-* &quot;-&quot;??\ &quot;kr&quot;_-;_-@_-"/>
  </numFmts>
  <fonts count="34" x14ac:knownFonts="1">
    <font>
      <sz val="10"/>
      <name val="Arial"/>
      <family val="2"/>
    </font>
    <font>
      <b/>
      <sz val="18"/>
      <name val="Times New Roman"/>
      <family val="1"/>
    </font>
    <font>
      <b/>
      <sz val="10"/>
      <name val="MS Sans Serif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b/>
      <sz val="8"/>
      <name val="Arial"/>
      <family val="2"/>
    </font>
    <font>
      <sz val="9"/>
      <name val="Times New Roman"/>
      <family val="1"/>
    </font>
    <font>
      <sz val="6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9"/>
      <name val="Times New Roman"/>
      <family val="1"/>
    </font>
    <font>
      <b/>
      <i/>
      <sz val="8"/>
      <name val="Arial"/>
      <family val="2"/>
    </font>
    <font>
      <b/>
      <i/>
      <sz val="12"/>
      <name val="Arial"/>
      <family val="2"/>
    </font>
    <font>
      <sz val="7.5"/>
      <name val="Arial"/>
      <family val="2"/>
    </font>
    <font>
      <i/>
      <sz val="1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12"/>
        <bgColor indexed="39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7"/>
        <bgColor indexed="9"/>
      </patternFill>
    </fill>
    <fill>
      <patternFill patternType="solid">
        <fgColor indexed="22"/>
        <bgColor indexed="44"/>
      </patternFill>
    </fill>
    <fill>
      <patternFill patternType="solid">
        <fgColor rgb="FFFFFF00"/>
        <bgColor indexed="39"/>
      </patternFill>
    </fill>
    <fill>
      <patternFill patternType="solid">
        <fgColor rgb="FFFFFF00"/>
        <b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rgb="FFFFFF00"/>
        <bgColor indexed="26"/>
      </patternFill>
    </fill>
    <fill>
      <patternFill patternType="solid">
        <fgColor rgb="FFFFFF99"/>
        <bgColor indexed="27"/>
      </patternFill>
    </fill>
    <fill>
      <patternFill patternType="solid">
        <fgColor rgb="FFFFFF00"/>
        <bgColor indexed="27"/>
      </patternFill>
    </fill>
  </fills>
  <borders count="1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4" fillId="0" borderId="0"/>
  </cellStyleXfs>
  <cellXfs count="58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3" fontId="3" fillId="0" borderId="0" xfId="0" applyNumberFormat="1" applyFont="1"/>
    <xf numFmtId="0" fontId="4" fillId="2" borderId="0" xfId="0" applyFont="1" applyFill="1"/>
    <xf numFmtId="0" fontId="5" fillId="2" borderId="1" xfId="0" applyFont="1" applyFill="1" applyBorder="1"/>
    <xf numFmtId="0" fontId="6" fillId="2" borderId="2" xfId="0" applyFont="1" applyFill="1" applyBorder="1"/>
    <xf numFmtId="0" fontId="5" fillId="2" borderId="3" xfId="0" applyFont="1" applyFill="1" applyBorder="1"/>
    <xf numFmtId="0" fontId="6" fillId="2" borderId="3" xfId="0" applyFont="1" applyFill="1" applyBorder="1"/>
    <xf numFmtId="3" fontId="7" fillId="0" borderId="0" xfId="0" applyNumberFormat="1" applyFont="1"/>
    <xf numFmtId="3" fontId="7" fillId="0" borderId="4" xfId="0" applyNumberFormat="1" applyFont="1" applyBorder="1"/>
    <xf numFmtId="0" fontId="5" fillId="0" borderId="0" xfId="0" applyFont="1"/>
    <xf numFmtId="3" fontId="8" fillId="2" borderId="4" xfId="0" applyNumberFormat="1" applyFont="1" applyFill="1" applyBorder="1" applyAlignment="1">
      <alignment horizontal="left" vertical="top"/>
    </xf>
    <xf numFmtId="3" fontId="8" fillId="2" borderId="5" xfId="0" applyNumberFormat="1" applyFont="1" applyFill="1" applyBorder="1" applyAlignment="1">
      <alignment horizontal="left" vertical="top"/>
    </xf>
    <xf numFmtId="0" fontId="8" fillId="2" borderId="4" xfId="0" applyFont="1" applyFill="1" applyBorder="1" applyProtection="1">
      <protection locked="0"/>
    </xf>
    <xf numFmtId="0" fontId="8" fillId="2" borderId="0" xfId="0" applyFont="1" applyFill="1"/>
    <xf numFmtId="0" fontId="8" fillId="2" borderId="5" xfId="0" applyFont="1" applyFill="1" applyBorder="1"/>
    <xf numFmtId="3" fontId="8" fillId="2" borderId="4" xfId="0" applyNumberFormat="1" applyFont="1" applyFill="1" applyBorder="1" applyProtection="1">
      <protection locked="0"/>
    </xf>
    <xf numFmtId="3" fontId="8" fillId="2" borderId="5" xfId="0" applyNumberFormat="1" applyFont="1" applyFill="1" applyBorder="1"/>
    <xf numFmtId="3" fontId="3" fillId="0" borderId="4" xfId="0" applyNumberFormat="1" applyFont="1" applyBorder="1"/>
    <xf numFmtId="0" fontId="8" fillId="2" borderId="6" xfId="0" applyFont="1" applyFill="1" applyBorder="1" applyAlignment="1">
      <alignment horizontal="left" vertical="top" wrapText="1"/>
    </xf>
    <xf numFmtId="3" fontId="8" fillId="2" borderId="7" xfId="0" applyNumberFormat="1" applyFont="1" applyFill="1" applyBorder="1" applyAlignment="1">
      <alignment horizontal="left" vertical="top" wrapText="1"/>
    </xf>
    <xf numFmtId="3" fontId="8" fillId="2" borderId="6" xfId="0" applyNumberFormat="1" applyFont="1" applyFill="1" applyBorder="1" applyProtection="1">
      <protection locked="0"/>
    </xf>
    <xf numFmtId="3" fontId="8" fillId="2" borderId="8" xfId="0" applyNumberFormat="1" applyFont="1" applyFill="1" applyBorder="1"/>
    <xf numFmtId="0" fontId="8" fillId="2" borderId="6" xfId="0" applyFont="1" applyFill="1" applyBorder="1"/>
    <xf numFmtId="3" fontId="5" fillId="2" borderId="4" xfId="0" applyNumberFormat="1" applyFont="1" applyFill="1" applyBorder="1"/>
    <xf numFmtId="3" fontId="6" fillId="2" borderId="0" xfId="0" applyNumberFormat="1" applyFont="1" applyFill="1"/>
    <xf numFmtId="3" fontId="10" fillId="0" borderId="0" xfId="0" applyNumberFormat="1" applyFont="1"/>
    <xf numFmtId="3" fontId="10" fillId="0" borderId="4" xfId="0" applyNumberFormat="1" applyFont="1" applyBorder="1"/>
    <xf numFmtId="0" fontId="8" fillId="0" borderId="0" xfId="0" applyFont="1"/>
    <xf numFmtId="0" fontId="5" fillId="2" borderId="2" xfId="0" applyFont="1" applyFill="1" applyBorder="1"/>
    <xf numFmtId="0" fontId="9" fillId="2" borderId="6" xfId="0" applyFont="1" applyFill="1" applyBorder="1"/>
    <xf numFmtId="0" fontId="5" fillId="2" borderId="7" xfId="0" applyFont="1" applyFill="1" applyBorder="1"/>
    <xf numFmtId="0" fontId="5" fillId="2" borderId="6" xfId="0" applyFont="1" applyFill="1" applyBorder="1"/>
    <xf numFmtId="3" fontId="0" fillId="2" borderId="9" xfId="0" applyNumberFormat="1" applyFill="1" applyBorder="1" applyAlignment="1" applyProtection="1">
      <alignment horizontal="left"/>
      <protection locked="0"/>
    </xf>
    <xf numFmtId="3" fontId="0" fillId="2" borderId="10" xfId="0" applyNumberFormat="1" applyFill="1" applyBorder="1" applyAlignment="1">
      <alignment horizontal="left"/>
    </xf>
    <xf numFmtId="0" fontId="5" fillId="2" borderId="9" xfId="0" applyFont="1" applyFill="1" applyBorder="1"/>
    <xf numFmtId="0" fontId="5" fillId="2" borderId="10" xfId="0" applyFont="1" applyFill="1" applyBorder="1"/>
    <xf numFmtId="0" fontId="9" fillId="2" borderId="4" xfId="0" applyFont="1" applyFill="1" applyBorder="1"/>
    <xf numFmtId="3" fontId="0" fillId="2" borderId="11" xfId="0" applyNumberFormat="1" applyFill="1" applyBorder="1"/>
    <xf numFmtId="3" fontId="0" fillId="2" borderId="12" xfId="0" applyNumberFormat="1" applyFill="1" applyBorder="1" applyAlignment="1">
      <alignment horizontal="right"/>
    </xf>
    <xf numFmtId="3" fontId="0" fillId="2" borderId="13" xfId="0" applyNumberFormat="1" applyFill="1" applyBorder="1"/>
    <xf numFmtId="0" fontId="0" fillId="2" borderId="2" xfId="0" applyFill="1" applyBorder="1"/>
    <xf numFmtId="0" fontId="11" fillId="0" borderId="0" xfId="0" applyFont="1"/>
    <xf numFmtId="0" fontId="5" fillId="2" borderId="4" xfId="0" applyFont="1" applyFill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0" fontId="9" fillId="2" borderId="0" xfId="0" applyFont="1" applyFill="1"/>
    <xf numFmtId="0" fontId="5" fillId="2" borderId="5" xfId="0" applyFont="1" applyFill="1" applyBorder="1"/>
    <xf numFmtId="0" fontId="11" fillId="2" borderId="16" xfId="0" applyFont="1" applyFill="1" applyBorder="1"/>
    <xf numFmtId="0" fontId="5" fillId="2" borderId="8" xfId="0" applyFont="1" applyFill="1" applyBorder="1"/>
    <xf numFmtId="14" fontId="5" fillId="2" borderId="0" xfId="0" applyNumberFormat="1" applyFont="1" applyFill="1" applyAlignment="1">
      <alignment horizontal="left"/>
    </xf>
    <xf numFmtId="0" fontId="9" fillId="0" borderId="0" xfId="0" applyFont="1"/>
    <xf numFmtId="0" fontId="5" fillId="2" borderId="0" xfId="0" applyFont="1" applyFill="1"/>
    <xf numFmtId="3" fontId="0" fillId="0" borderId="0" xfId="0" applyNumberFormat="1"/>
    <xf numFmtId="0" fontId="3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center"/>
    </xf>
    <xf numFmtId="3" fontId="13" fillId="0" borderId="0" xfId="0" applyNumberFormat="1" applyFont="1"/>
    <xf numFmtId="2" fontId="3" fillId="0" borderId="0" xfId="0" applyNumberFormat="1" applyFont="1"/>
    <xf numFmtId="165" fontId="12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/>
    <xf numFmtId="0" fontId="3" fillId="0" borderId="0" xfId="0" applyFont="1" applyAlignment="1">
      <alignment horizontal="left"/>
    </xf>
    <xf numFmtId="2" fontId="3" fillId="2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11" fillId="0" borderId="3" xfId="0" applyFont="1" applyBorder="1"/>
    <xf numFmtId="3" fontId="5" fillId="0" borderId="1" xfId="0" applyNumberFormat="1" applyFont="1" applyBorder="1"/>
    <xf numFmtId="164" fontId="5" fillId="0" borderId="2" xfId="0" applyNumberFormat="1" applyFont="1" applyBorder="1"/>
    <xf numFmtId="0" fontId="11" fillId="0" borderId="17" xfId="0" applyFont="1" applyBorder="1"/>
    <xf numFmtId="0" fontId="0" fillId="0" borderId="4" xfId="0" applyBorder="1"/>
    <xf numFmtId="164" fontId="0" fillId="0" borderId="5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7" xfId="0" applyBorder="1"/>
    <xf numFmtId="3" fontId="5" fillId="0" borderId="2" xfId="0" applyNumberFormat="1" applyFont="1" applyBorder="1"/>
    <xf numFmtId="3" fontId="5" fillId="0" borderId="3" xfId="0" applyNumberFormat="1" applyFont="1" applyBorder="1"/>
    <xf numFmtId="0" fontId="5" fillId="0" borderId="17" xfId="0" applyFont="1" applyBorder="1"/>
    <xf numFmtId="0" fontId="0" fillId="0" borderId="6" xfId="0" applyBorder="1"/>
    <xf numFmtId="0" fontId="0" fillId="0" borderId="13" xfId="0" applyBorder="1"/>
    <xf numFmtId="0" fontId="9" fillId="0" borderId="9" xfId="0" applyFont="1" applyBorder="1"/>
    <xf numFmtId="0" fontId="9" fillId="0" borderId="18" xfId="0" applyFont="1" applyBorder="1"/>
    <xf numFmtId="0" fontId="5" fillId="2" borderId="18" xfId="0" applyFont="1" applyFill="1" applyBorder="1"/>
    <xf numFmtId="3" fontId="0" fillId="0" borderId="18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4" xfId="0" applyNumberFormat="1" applyBorder="1" applyProtection="1">
      <protection locked="0"/>
    </xf>
    <xf numFmtId="3" fontId="15" fillId="0" borderId="0" xfId="0" applyNumberFormat="1" applyFont="1"/>
    <xf numFmtId="0" fontId="16" fillId="0" borderId="0" xfId="0" applyFont="1"/>
    <xf numFmtId="0" fontId="17" fillId="0" borderId="9" xfId="0" applyFont="1" applyBorder="1"/>
    <xf numFmtId="0" fontId="0" fillId="0" borderId="18" xfId="0" applyBorder="1"/>
    <xf numFmtId="0" fontId="0" fillId="2" borderId="18" xfId="0" applyFill="1" applyBorder="1"/>
    <xf numFmtId="0" fontId="0" fillId="2" borderId="8" xfId="0" applyFill="1" applyBorder="1"/>
    <xf numFmtId="3" fontId="0" fillId="0" borderId="14" xfId="0" applyNumberFormat="1" applyBorder="1"/>
    <xf numFmtId="14" fontId="5" fillId="0" borderId="0" xfId="0" applyNumberFormat="1" applyFont="1" applyAlignment="1">
      <alignment horizontal="left"/>
    </xf>
    <xf numFmtId="0" fontId="17" fillId="0" borderId="0" xfId="0" applyFont="1"/>
    <xf numFmtId="3" fontId="0" fillId="2" borderId="0" xfId="0" applyNumberFormat="1" applyFill="1"/>
    <xf numFmtId="3" fontId="0" fillId="0" borderId="4" xfId="0" applyNumberFormat="1" applyBorder="1"/>
    <xf numFmtId="3" fontId="0" fillId="0" borderId="13" xfId="0" applyNumberFormat="1" applyBorder="1"/>
    <xf numFmtId="3" fontId="0" fillId="0" borderId="13" xfId="0" applyNumberFormat="1" applyBorder="1" applyProtection="1">
      <protection locked="0"/>
    </xf>
    <xf numFmtId="0" fontId="9" fillId="0" borderId="0" xfId="0" applyFont="1" applyProtection="1">
      <protection locked="0"/>
    </xf>
    <xf numFmtId="3" fontId="0" fillId="3" borderId="0" xfId="0" applyNumberFormat="1" applyFill="1"/>
    <xf numFmtId="0" fontId="0" fillId="3" borderId="0" xfId="0" applyFill="1"/>
    <xf numFmtId="3" fontId="18" fillId="0" borderId="0" xfId="0" applyNumberFormat="1" applyFont="1"/>
    <xf numFmtId="3" fontId="17" fillId="3" borderId="0" xfId="0" applyNumberFormat="1" applyFont="1" applyFill="1"/>
    <xf numFmtId="3" fontId="17" fillId="0" borderId="0" xfId="0" applyNumberFormat="1" applyFont="1"/>
    <xf numFmtId="164" fontId="17" fillId="0" borderId="0" xfId="0" applyNumberFormat="1" applyFont="1" applyAlignment="1">
      <alignment horizontal="center"/>
    </xf>
    <xf numFmtId="0" fontId="5" fillId="0" borderId="3" xfId="0" applyFont="1" applyBorder="1"/>
    <xf numFmtId="3" fontId="5" fillId="0" borderId="17" xfId="0" applyNumberFormat="1" applyFont="1" applyBorder="1"/>
    <xf numFmtId="0" fontId="5" fillId="3" borderId="0" xfId="0" applyFont="1" applyFill="1"/>
    <xf numFmtId="3" fontId="5" fillId="3" borderId="0" xfId="0" applyNumberFormat="1" applyFont="1" applyFill="1"/>
    <xf numFmtId="3" fontId="5" fillId="0" borderId="0" xfId="0" applyNumberFormat="1" applyFont="1"/>
    <xf numFmtId="0" fontId="0" fillId="0" borderId="8" xfId="0" applyBorder="1"/>
    <xf numFmtId="3" fontId="0" fillId="0" borderId="13" xfId="0" applyNumberFormat="1" applyBorder="1" applyAlignment="1" applyProtection="1">
      <alignment horizontal="center"/>
      <protection locked="0"/>
    </xf>
    <xf numFmtId="3" fontId="0" fillId="4" borderId="14" xfId="0" applyNumberFormat="1" applyFill="1" applyBorder="1"/>
    <xf numFmtId="2" fontId="0" fillId="0" borderId="14" xfId="0" applyNumberFormat="1" applyBorder="1"/>
    <xf numFmtId="0" fontId="19" fillId="4" borderId="0" xfId="0" applyFont="1" applyFill="1"/>
    <xf numFmtId="3" fontId="4" fillId="4" borderId="15" xfId="0" applyNumberFormat="1" applyFont="1" applyFill="1" applyBorder="1" applyAlignment="1">
      <alignment horizontal="center"/>
    </xf>
    <xf numFmtId="0" fontId="0" fillId="0" borderId="2" xfId="0" applyBorder="1"/>
    <xf numFmtId="0" fontId="0" fillId="4" borderId="14" xfId="0" applyFill="1" applyBorder="1"/>
    <xf numFmtId="0" fontId="0" fillId="0" borderId="14" xfId="0" applyBorder="1"/>
    <xf numFmtId="0" fontId="5" fillId="4" borderId="0" xfId="0" applyFont="1" applyFill="1"/>
    <xf numFmtId="4" fontId="0" fillId="0" borderId="13" xfId="0" applyNumberFormat="1" applyBorder="1" applyAlignment="1" applyProtection="1">
      <alignment horizontal="center"/>
      <protection locked="0"/>
    </xf>
    <xf numFmtId="3" fontId="0" fillId="0" borderId="1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4" borderId="18" xfId="0" applyFill="1" applyBorder="1"/>
    <xf numFmtId="3" fontId="0" fillId="0" borderId="1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17" xfId="0" applyNumberFormat="1" applyBorder="1"/>
    <xf numFmtId="2" fontId="0" fillId="0" borderId="13" xfId="0" applyNumberFormat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5" fillId="3" borderId="15" xfId="0" applyNumberFormat="1" applyFont="1" applyFill="1" applyBorder="1" applyAlignment="1">
      <alignment horizontal="center"/>
    </xf>
    <xf numFmtId="0" fontId="0" fillId="4" borderId="0" xfId="0" applyFill="1"/>
    <xf numFmtId="3" fontId="5" fillId="0" borderId="6" xfId="0" applyNumberFormat="1" applyFont="1" applyBorder="1"/>
    <xf numFmtId="0" fontId="5" fillId="2" borderId="17" xfId="0" applyFont="1" applyFill="1" applyBorder="1" applyAlignment="1" applyProtection="1">
      <alignment horizontal="center"/>
      <protection locked="0"/>
    </xf>
    <xf numFmtId="3" fontId="5" fillId="4" borderId="14" xfId="0" applyNumberFormat="1" applyFont="1" applyFill="1" applyBorder="1"/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/>
    <xf numFmtId="0" fontId="0" fillId="0" borderId="10" xfId="0" applyBorder="1"/>
    <xf numFmtId="3" fontId="4" fillId="5" borderId="17" xfId="0" applyNumberFormat="1" applyFont="1" applyFill="1" applyBorder="1" applyProtection="1">
      <protection locked="0"/>
    </xf>
    <xf numFmtId="3" fontId="4" fillId="2" borderId="0" xfId="0" applyNumberFormat="1" applyFont="1" applyFill="1"/>
    <xf numFmtId="3" fontId="5" fillId="4" borderId="0" xfId="0" applyNumberFormat="1" applyFont="1" applyFill="1"/>
    <xf numFmtId="3" fontId="0" fillId="4" borderId="0" xfId="0" applyNumberFormat="1" applyFill="1"/>
    <xf numFmtId="4" fontId="0" fillId="0" borderId="14" xfId="0" applyNumberFormat="1" applyBorder="1"/>
    <xf numFmtId="3" fontId="0" fillId="0" borderId="1" xfId="0" applyNumberFormat="1" applyBorder="1" applyAlignment="1">
      <alignment horizontal="center"/>
    </xf>
    <xf numFmtId="3" fontId="17" fillId="5" borderId="19" xfId="0" applyNumberFormat="1" applyFont="1" applyFill="1" applyBorder="1"/>
    <xf numFmtId="3" fontId="0" fillId="5" borderId="19" xfId="0" applyNumberFormat="1" applyFill="1" applyBorder="1"/>
    <xf numFmtId="3" fontId="0" fillId="5" borderId="20" xfId="0" applyNumberFormat="1" applyFill="1" applyBorder="1"/>
    <xf numFmtId="3" fontId="0" fillId="5" borderId="21" xfId="0" applyNumberFormat="1" applyFill="1" applyBorder="1"/>
    <xf numFmtId="3" fontId="0" fillId="5" borderId="22" xfId="0" applyNumberFormat="1" applyFill="1" applyBorder="1"/>
    <xf numFmtId="3" fontId="5" fillId="0" borderId="9" xfId="0" applyNumberFormat="1" applyFont="1" applyBorder="1"/>
    <xf numFmtId="3" fontId="5" fillId="0" borderId="18" xfId="0" applyNumberFormat="1" applyFont="1" applyBorder="1"/>
    <xf numFmtId="9" fontId="0" fillId="3" borderId="0" xfId="0" applyNumberFormat="1" applyFill="1"/>
    <xf numFmtId="0" fontId="0" fillId="6" borderId="0" xfId="0" applyFill="1" applyAlignment="1">
      <alignment horizontal="center"/>
    </xf>
    <xf numFmtId="3" fontId="0" fillId="5" borderId="18" xfId="0" applyNumberFormat="1" applyFill="1" applyBorder="1"/>
    <xf numFmtId="3" fontId="0" fillId="5" borderId="10" xfId="0" applyNumberFormat="1" applyFill="1" applyBorder="1"/>
    <xf numFmtId="3" fontId="0" fillId="5" borderId="14" xfId="0" applyNumberFormat="1" applyFill="1" applyBorder="1"/>
    <xf numFmtId="0" fontId="0" fillId="5" borderId="14" xfId="0" applyFill="1" applyBorder="1"/>
    <xf numFmtId="0" fontId="0" fillId="5" borderId="23" xfId="0" applyFill="1" applyBorder="1"/>
    <xf numFmtId="3" fontId="0" fillId="5" borderId="23" xfId="0" applyNumberFormat="1" applyFill="1" applyBorder="1"/>
    <xf numFmtId="4" fontId="0" fillId="3" borderId="0" xfId="0" applyNumberFormat="1" applyFill="1"/>
    <xf numFmtId="3" fontId="0" fillId="5" borderId="24" xfId="0" applyNumberFormat="1" applyFill="1" applyBorder="1"/>
    <xf numFmtId="3" fontId="5" fillId="0" borderId="8" xfId="0" applyNumberFormat="1" applyFont="1" applyBorder="1"/>
    <xf numFmtId="0" fontId="5" fillId="0" borderId="8" xfId="0" applyFont="1" applyBorder="1"/>
    <xf numFmtId="3" fontId="0" fillId="5" borderId="25" xfId="0" applyNumberFormat="1" applyFill="1" applyBorder="1"/>
    <xf numFmtId="3" fontId="0" fillId="5" borderId="3" xfId="0" applyNumberFormat="1" applyFill="1" applyBorder="1"/>
    <xf numFmtId="3" fontId="0" fillId="5" borderId="2" xfId="0" applyNumberFormat="1" applyFill="1" applyBorder="1"/>
    <xf numFmtId="3" fontId="0" fillId="0" borderId="1" xfId="0" applyNumberFormat="1" applyBorder="1"/>
    <xf numFmtId="3" fontId="0" fillId="5" borderId="9" xfId="0" applyNumberFormat="1" applyFill="1" applyBorder="1"/>
    <xf numFmtId="3" fontId="0" fillId="0" borderId="9" xfId="0" applyNumberFormat="1" applyBorder="1"/>
    <xf numFmtId="3" fontId="0" fillId="4" borderId="18" xfId="0" applyNumberFormat="1" applyFill="1" applyBorder="1"/>
    <xf numFmtId="3" fontId="0" fillId="4" borderId="14" xfId="0" applyNumberFormat="1" applyFill="1" applyBorder="1" applyAlignment="1">
      <alignment horizontal="center"/>
    </xf>
    <xf numFmtId="166" fontId="0" fillId="4" borderId="9" xfId="0" applyNumberFormat="1" applyFill="1" applyBorder="1" applyAlignment="1">
      <alignment horizontal="center"/>
    </xf>
    <xf numFmtId="3" fontId="0" fillId="7" borderId="4" xfId="0" applyNumberFormat="1" applyFill="1" applyBorder="1"/>
    <xf numFmtId="3" fontId="0" fillId="7" borderId="11" xfId="0" applyNumberFormat="1" applyFill="1" applyBorder="1"/>
    <xf numFmtId="3" fontId="0" fillId="4" borderId="6" xfId="0" applyNumberFormat="1" applyFill="1" applyBorder="1"/>
    <xf numFmtId="3" fontId="0" fillId="4" borderId="8" xfId="0" applyNumberFormat="1" applyFill="1" applyBorder="1"/>
    <xf numFmtId="3" fontId="0" fillId="4" borderId="7" xfId="0" applyNumberFormat="1" applyFill="1" applyBorder="1"/>
    <xf numFmtId="3" fontId="0" fillId="0" borderId="18" xfId="0" applyNumberFormat="1" applyBorder="1"/>
    <xf numFmtId="3" fontId="0" fillId="4" borderId="10" xfId="0" applyNumberFormat="1" applyFill="1" applyBorder="1"/>
    <xf numFmtId="3" fontId="5" fillId="2" borderId="0" xfId="0" applyNumberFormat="1" applyFont="1" applyFill="1"/>
    <xf numFmtId="3" fontId="5" fillId="0" borderId="14" xfId="0" applyNumberFormat="1" applyFont="1" applyBorder="1"/>
    <xf numFmtId="3" fontId="17" fillId="0" borderId="0" xfId="0" applyNumberFormat="1" applyFont="1" applyAlignment="1">
      <alignment horizontal="left"/>
    </xf>
    <xf numFmtId="10" fontId="0" fillId="0" borderId="15" xfId="1" applyNumberFormat="1" applyFont="1" applyBorder="1"/>
    <xf numFmtId="3" fontId="0" fillId="0" borderId="14" xfId="0" applyNumberFormat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3" fontId="0" fillId="5" borderId="26" xfId="0" applyNumberFormat="1" applyFill="1" applyBorder="1"/>
    <xf numFmtId="3" fontId="0" fillId="5" borderId="16" xfId="0" applyNumberFormat="1" applyFill="1" applyBorder="1"/>
    <xf numFmtId="3" fontId="0" fillId="5" borderId="17" xfId="0" applyNumberFormat="1" applyFill="1" applyBorder="1"/>
    <xf numFmtId="3" fontId="0" fillId="5" borderId="27" xfId="0" applyNumberFormat="1" applyFill="1" applyBorder="1"/>
    <xf numFmtId="0" fontId="0" fillId="5" borderId="18" xfId="0" applyFill="1" applyBorder="1"/>
    <xf numFmtId="0" fontId="0" fillId="5" borderId="10" xfId="0" applyFill="1" applyBorder="1"/>
    <xf numFmtId="0" fontId="20" fillId="0" borderId="0" xfId="0" applyFont="1"/>
    <xf numFmtId="3" fontId="0" fillId="5" borderId="28" xfId="0" applyNumberFormat="1" applyFill="1" applyBorder="1"/>
    <xf numFmtId="3" fontId="0" fillId="5" borderId="29" xfId="0" applyNumberFormat="1" applyFill="1" applyBorder="1"/>
    <xf numFmtId="3" fontId="0" fillId="5" borderId="30" xfId="0" applyNumberFormat="1" applyFill="1" applyBorder="1"/>
    <xf numFmtId="3" fontId="0" fillId="5" borderId="31" xfId="0" applyNumberFormat="1" applyFill="1" applyBorder="1"/>
    <xf numFmtId="3" fontId="0" fillId="5" borderId="32" xfId="0" applyNumberFormat="1" applyFill="1" applyBorder="1"/>
    <xf numFmtId="3" fontId="0" fillId="5" borderId="33" xfId="0" applyNumberFormat="1" applyFill="1" applyBorder="1"/>
    <xf numFmtId="3" fontId="0" fillId="5" borderId="34" xfId="0" applyNumberFormat="1" applyFill="1" applyBorder="1"/>
    <xf numFmtId="3" fontId="0" fillId="5" borderId="35" xfId="0" applyNumberFormat="1" applyFill="1" applyBorder="1"/>
    <xf numFmtId="3" fontId="0" fillId="5" borderId="36" xfId="0" applyNumberFormat="1" applyFill="1" applyBorder="1"/>
    <xf numFmtId="3" fontId="0" fillId="5" borderId="37" xfId="0" applyNumberFormat="1" applyFill="1" applyBorder="1"/>
    <xf numFmtId="3" fontId="0" fillId="5" borderId="38" xfId="0" applyNumberFormat="1" applyFill="1" applyBorder="1"/>
    <xf numFmtId="0" fontId="0" fillId="5" borderId="28" xfId="0" applyFill="1" applyBorder="1"/>
    <xf numFmtId="10" fontId="0" fillId="0" borderId="0" xfId="1" applyNumberFormat="1" applyFont="1"/>
    <xf numFmtId="3" fontId="0" fillId="5" borderId="39" xfId="0" applyNumberFormat="1" applyFill="1" applyBorder="1"/>
    <xf numFmtId="3" fontId="0" fillId="5" borderId="8" xfId="0" applyNumberFormat="1" applyFill="1" applyBorder="1"/>
    <xf numFmtId="3" fontId="0" fillId="5" borderId="7" xfId="0" applyNumberFormat="1" applyFill="1" applyBorder="1"/>
    <xf numFmtId="3" fontId="0" fillId="5" borderId="13" xfId="0" applyNumberFormat="1" applyFill="1" applyBorder="1"/>
    <xf numFmtId="0" fontId="0" fillId="5" borderId="13" xfId="0" applyFill="1" applyBorder="1"/>
    <xf numFmtId="3" fontId="0" fillId="5" borderId="40" xfId="0" applyNumberFormat="1" applyFill="1" applyBorder="1"/>
    <xf numFmtId="3" fontId="18" fillId="5" borderId="14" xfId="0" applyNumberFormat="1" applyFont="1" applyFill="1" applyBorder="1"/>
    <xf numFmtId="3" fontId="18" fillId="2" borderId="0" xfId="0" applyNumberFormat="1" applyFont="1" applyFill="1"/>
    <xf numFmtId="0" fontId="0" fillId="5" borderId="41" xfId="0" applyFill="1" applyBorder="1"/>
    <xf numFmtId="0" fontId="0" fillId="5" borderId="0" xfId="0" applyFill="1"/>
    <xf numFmtId="3" fontId="17" fillId="0" borderId="14" xfId="0" applyNumberFormat="1" applyFont="1" applyBorder="1"/>
    <xf numFmtId="3" fontId="17" fillId="2" borderId="0" xfId="0" applyNumberFormat="1" applyFont="1" applyFill="1"/>
    <xf numFmtId="0" fontId="0" fillId="5" borderId="2" xfId="0" applyFill="1" applyBorder="1"/>
    <xf numFmtId="0" fontId="0" fillId="5" borderId="17" xfId="0" applyFill="1" applyBorder="1"/>
    <xf numFmtId="3" fontId="4" fillId="5" borderId="14" xfId="0" applyNumberFormat="1" applyFont="1" applyFill="1" applyBorder="1"/>
    <xf numFmtId="0" fontId="0" fillId="5" borderId="42" xfId="0" applyFill="1" applyBorder="1"/>
    <xf numFmtId="3" fontId="0" fillId="5" borderId="43" xfId="0" applyNumberFormat="1" applyFill="1" applyBorder="1"/>
    <xf numFmtId="0" fontId="0" fillId="5" borderId="44" xfId="0" applyFill="1" applyBorder="1"/>
    <xf numFmtId="3" fontId="0" fillId="5" borderId="45" xfId="0" applyNumberFormat="1" applyFill="1" applyBorder="1"/>
    <xf numFmtId="3" fontId="0" fillId="5" borderId="46" xfId="0" applyNumberFormat="1" applyFill="1" applyBorder="1"/>
    <xf numFmtId="3" fontId="0" fillId="5" borderId="47" xfId="0" applyNumberFormat="1" applyFill="1" applyBorder="1"/>
    <xf numFmtId="3" fontId="0" fillId="5" borderId="48" xfId="0" applyNumberFormat="1" applyFill="1" applyBorder="1"/>
    <xf numFmtId="0" fontId="0" fillId="0" borderId="0" xfId="0" applyProtection="1">
      <protection locked="0"/>
    </xf>
    <xf numFmtId="14" fontId="5" fillId="0" borderId="0" xfId="0" applyNumberFormat="1" applyFont="1"/>
    <xf numFmtId="3" fontId="17" fillId="0" borderId="0" xfId="0" applyNumberFormat="1" applyFont="1" applyAlignment="1">
      <alignment horizontal="right"/>
    </xf>
    <xf numFmtId="2" fontId="0" fillId="0" borderId="0" xfId="0" applyNumberFormat="1"/>
    <xf numFmtId="3" fontId="0" fillId="0" borderId="0" xfId="0" applyNumberFormat="1" applyAlignment="1" applyProtection="1">
      <alignment horizontal="left"/>
      <protection locked="0"/>
    </xf>
    <xf numFmtId="165" fontId="17" fillId="0" borderId="14" xfId="0" applyNumberFormat="1" applyFont="1" applyBorder="1" applyAlignment="1">
      <alignment horizontal="center"/>
    </xf>
    <xf numFmtId="0" fontId="21" fillId="0" borderId="0" xfId="0" applyFont="1"/>
    <xf numFmtId="0" fontId="0" fillId="0" borderId="17" xfId="0" applyBorder="1"/>
    <xf numFmtId="0" fontId="0" fillId="0" borderId="14" xfId="0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2" xfId="0" applyNumberFormat="1" applyBorder="1"/>
    <xf numFmtId="0" fontId="0" fillId="0" borderId="0" xfId="0" applyAlignment="1">
      <alignment horizontal="right"/>
    </xf>
    <xf numFmtId="3" fontId="17" fillId="5" borderId="10" xfId="0" applyNumberFormat="1" applyFont="1" applyFill="1" applyBorder="1"/>
    <xf numFmtId="3" fontId="17" fillId="5" borderId="14" xfId="0" applyNumberFormat="1" applyFont="1" applyFill="1" applyBorder="1"/>
    <xf numFmtId="0" fontId="0" fillId="0" borderId="0" xfId="0" applyAlignment="1">
      <alignment horizontal="left"/>
    </xf>
    <xf numFmtId="2" fontId="0" fillId="0" borderId="14" xfId="0" applyNumberFormat="1" applyBorder="1" applyAlignment="1" applyProtection="1">
      <alignment horizontal="center"/>
      <protection locked="0"/>
    </xf>
    <xf numFmtId="164" fontId="5" fillId="0" borderId="0" xfId="0" applyNumberFormat="1" applyFont="1" applyAlignment="1">
      <alignment horizontal="left"/>
    </xf>
    <xf numFmtId="0" fontId="22" fillId="0" borderId="0" xfId="0" applyFont="1"/>
    <xf numFmtId="0" fontId="0" fillId="0" borderId="3" xfId="0" applyBorder="1"/>
    <xf numFmtId="0" fontId="0" fillId="0" borderId="5" xfId="0" applyBorder="1"/>
    <xf numFmtId="0" fontId="18" fillId="0" borderId="0" xfId="0" applyFont="1"/>
    <xf numFmtId="167" fontId="0" fillId="0" borderId="14" xfId="0" applyNumberFormat="1" applyBorder="1" applyProtection="1">
      <protection locked="0"/>
    </xf>
    <xf numFmtId="168" fontId="0" fillId="0" borderId="14" xfId="0" applyNumberFormat="1" applyBorder="1" applyAlignment="1">
      <alignment horizontal="right"/>
    </xf>
    <xf numFmtId="168" fontId="0" fillId="0" borderId="14" xfId="0" applyNumberFormat="1" applyBorder="1"/>
    <xf numFmtId="167" fontId="0" fillId="0" borderId="0" xfId="0" applyNumberFormat="1"/>
    <xf numFmtId="168" fontId="0" fillId="0" borderId="0" xfId="0" applyNumberFormat="1"/>
    <xf numFmtId="168" fontId="0" fillId="0" borderId="14" xfId="0" applyNumberFormat="1" applyBorder="1" applyProtection="1">
      <protection locked="0"/>
    </xf>
    <xf numFmtId="0" fontId="23" fillId="0" borderId="0" xfId="0" applyFont="1"/>
    <xf numFmtId="168" fontId="4" fillId="0" borderId="15" xfId="0" applyNumberFormat="1" applyFont="1" applyBorder="1"/>
    <xf numFmtId="169" fontId="4" fillId="0" borderId="15" xfId="0" applyNumberFormat="1" applyFont="1" applyBorder="1" applyProtection="1">
      <protection locked="0"/>
    </xf>
    <xf numFmtId="0" fontId="5" fillId="2" borderId="13" xfId="0" applyFont="1" applyFill="1" applyBorder="1" applyAlignment="1">
      <alignment horizontal="center"/>
    </xf>
    <xf numFmtId="3" fontId="0" fillId="2" borderId="0" xfId="0" applyNumberFormat="1" applyFill="1" applyAlignment="1">
      <alignment horizontal="right"/>
    </xf>
    <xf numFmtId="0" fontId="0" fillId="0" borderId="49" xfId="0" applyBorder="1"/>
    <xf numFmtId="3" fontId="0" fillId="0" borderId="49" xfId="0" applyNumberFormat="1" applyBorder="1"/>
    <xf numFmtId="10" fontId="0" fillId="0" borderId="49" xfId="0" applyNumberFormat="1" applyBorder="1"/>
    <xf numFmtId="0" fontId="5" fillId="0" borderId="49" xfId="0" applyFont="1" applyBorder="1" applyAlignment="1" applyProtection="1">
      <alignment horizontal="center"/>
      <protection locked="0"/>
    </xf>
    <xf numFmtId="0" fontId="5" fillId="0" borderId="50" xfId="0" applyFont="1" applyBorder="1"/>
    <xf numFmtId="0" fontId="0" fillId="0" borderId="51" xfId="0" applyBorder="1"/>
    <xf numFmtId="10" fontId="5" fillId="0" borderId="9" xfId="0" applyNumberFormat="1" applyFont="1" applyBorder="1" applyAlignment="1" applyProtection="1">
      <alignment horizontal="center"/>
      <protection locked="0"/>
    </xf>
    <xf numFmtId="10" fontId="5" fillId="0" borderId="9" xfId="0" applyNumberFormat="1" applyFont="1" applyBorder="1" applyProtection="1">
      <protection locked="0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3" fontId="0" fillId="9" borderId="0" xfId="0" applyNumberFormat="1" applyFill="1"/>
    <xf numFmtId="0" fontId="0" fillId="9" borderId="0" xfId="0" applyFill="1"/>
    <xf numFmtId="3" fontId="0" fillId="10" borderId="0" xfId="0" applyNumberFormat="1" applyFill="1"/>
    <xf numFmtId="0" fontId="0" fillId="11" borderId="49" xfId="0" applyFill="1" applyBorder="1"/>
    <xf numFmtId="3" fontId="0" fillId="10" borderId="10" xfId="0" applyNumberFormat="1" applyFill="1" applyBorder="1"/>
    <xf numFmtId="3" fontId="0" fillId="10" borderId="9" xfId="0" applyNumberFormat="1" applyFill="1" applyBorder="1"/>
    <xf numFmtId="3" fontId="0" fillId="10" borderId="2" xfId="0" applyNumberFormat="1" applyFill="1" applyBorder="1"/>
    <xf numFmtId="0" fontId="0" fillId="9" borderId="50" xfId="0" applyFill="1" applyBorder="1"/>
    <xf numFmtId="3" fontId="0" fillId="9" borderId="51" xfId="0" applyNumberFormat="1" applyFill="1" applyBorder="1"/>
    <xf numFmtId="3" fontId="0" fillId="10" borderId="51" xfId="0" applyNumberFormat="1" applyFill="1" applyBorder="1"/>
    <xf numFmtId="0" fontId="0" fillId="9" borderId="51" xfId="0" applyFill="1" applyBorder="1"/>
    <xf numFmtId="3" fontId="0" fillId="4" borderId="2" xfId="0" applyNumberFormat="1" applyFill="1" applyBorder="1" applyAlignment="1">
      <alignment horizontal="center"/>
    </xf>
    <xf numFmtId="3" fontId="0" fillId="0" borderId="52" xfId="0" applyNumberFormat="1" applyBorder="1"/>
    <xf numFmtId="3" fontId="5" fillId="0" borderId="50" xfId="0" applyNumberFormat="1" applyFont="1" applyBorder="1"/>
    <xf numFmtId="0" fontId="5" fillId="0" borderId="53" xfId="0" applyFont="1" applyBorder="1"/>
    <xf numFmtId="0" fontId="0" fillId="4" borderId="13" xfId="0" applyFill="1" applyBorder="1" applyAlignment="1">
      <alignment horizontal="center"/>
    </xf>
    <xf numFmtId="0" fontId="0" fillId="12" borderId="0" xfId="0" applyFill="1"/>
    <xf numFmtId="3" fontId="4" fillId="13" borderId="0" xfId="0" applyNumberFormat="1" applyFont="1" applyFill="1"/>
    <xf numFmtId="3" fontId="0" fillId="13" borderId="0" xfId="0" applyNumberFormat="1" applyFill="1"/>
    <xf numFmtId="3" fontId="0" fillId="14" borderId="9" xfId="0" applyNumberFormat="1" applyFill="1" applyBorder="1"/>
    <xf numFmtId="0" fontId="0" fillId="11" borderId="18" xfId="0" applyFill="1" applyBorder="1"/>
    <xf numFmtId="3" fontId="0" fillId="11" borderId="10" xfId="0" applyNumberFormat="1" applyFill="1" applyBorder="1"/>
    <xf numFmtId="3" fontId="0" fillId="11" borderId="14" xfId="0" applyNumberFormat="1" applyFill="1" applyBorder="1"/>
    <xf numFmtId="0" fontId="0" fillId="11" borderId="14" xfId="0" applyFill="1" applyBorder="1"/>
    <xf numFmtId="3" fontId="0" fillId="10" borderId="54" xfId="0" applyNumberFormat="1" applyFill="1" applyBorder="1"/>
    <xf numFmtId="3" fontId="20" fillId="0" borderId="0" xfId="0" applyNumberFormat="1" applyFont="1"/>
    <xf numFmtId="3" fontId="0" fillId="0" borderId="10" xfId="0" applyNumberFormat="1" applyBorder="1"/>
    <xf numFmtId="0" fontId="5" fillId="2" borderId="6" xfId="0" applyFont="1" applyFill="1" applyBorder="1" applyAlignment="1">
      <alignment horizontal="center"/>
    </xf>
    <xf numFmtId="3" fontId="0" fillId="2" borderId="52" xfId="0" applyNumberFormat="1" applyFill="1" applyBorder="1"/>
    <xf numFmtId="3" fontId="0" fillId="2" borderId="6" xfId="0" applyNumberFormat="1" applyFill="1" applyBorder="1"/>
    <xf numFmtId="0" fontId="11" fillId="2" borderId="26" xfId="0" applyFont="1" applyFill="1" applyBorder="1"/>
    <xf numFmtId="0" fontId="5" fillId="2" borderId="52" xfId="0" applyFont="1" applyFill="1" applyBorder="1"/>
    <xf numFmtId="3" fontId="0" fillId="2" borderId="6" xfId="0" applyNumberFormat="1" applyFill="1" applyBorder="1" applyAlignment="1" applyProtection="1">
      <alignment horizontal="left"/>
      <protection locked="0"/>
    </xf>
    <xf numFmtId="3" fontId="0" fillId="2" borderId="7" xfId="0" applyNumberFormat="1" applyFill="1" applyBorder="1" applyAlignment="1">
      <alignment horizontal="left"/>
    </xf>
    <xf numFmtId="0" fontId="6" fillId="2" borderId="55" xfId="0" applyFont="1" applyFill="1" applyBorder="1"/>
    <xf numFmtId="0" fontId="8" fillId="2" borderId="56" xfId="0" applyFont="1" applyFill="1" applyBorder="1"/>
    <xf numFmtId="3" fontId="6" fillId="2" borderId="55" xfId="0" applyNumberFormat="1" applyFont="1" applyFill="1" applyBorder="1"/>
    <xf numFmtId="0" fontId="11" fillId="2" borderId="0" xfId="0" applyFont="1" applyFill="1"/>
    <xf numFmtId="3" fontId="17" fillId="2" borderId="57" xfId="0" applyNumberFormat="1" applyFont="1" applyFill="1" applyBorder="1" applyAlignment="1">
      <alignment horizontal="center"/>
    </xf>
    <xf numFmtId="3" fontId="17" fillId="2" borderId="58" xfId="0" applyNumberFormat="1" applyFont="1" applyFill="1" applyBorder="1" applyAlignment="1">
      <alignment horizontal="center"/>
    </xf>
    <xf numFmtId="3" fontId="17" fillId="2" borderId="59" xfId="0" applyNumberFormat="1" applyFont="1" applyFill="1" applyBorder="1" applyAlignment="1">
      <alignment horizontal="center"/>
    </xf>
    <xf numFmtId="3" fontId="17" fillId="2" borderId="60" xfId="0" applyNumberFormat="1" applyFont="1" applyFill="1" applyBorder="1" applyAlignment="1">
      <alignment horizontal="center"/>
    </xf>
    <xf numFmtId="0" fontId="9" fillId="2" borderId="61" xfId="0" applyFont="1" applyFill="1" applyBorder="1"/>
    <xf numFmtId="0" fontId="9" fillId="2" borderId="62" xfId="0" applyFont="1" applyFill="1" applyBorder="1"/>
    <xf numFmtId="0" fontId="9" fillId="2" borderId="63" xfId="0" applyFont="1" applyFill="1" applyBorder="1"/>
    <xf numFmtId="0" fontId="9" fillId="2" borderId="64" xfId="0" applyFont="1" applyFill="1" applyBorder="1"/>
    <xf numFmtId="0" fontId="9" fillId="2" borderId="65" xfId="0" applyFont="1" applyFill="1" applyBorder="1"/>
    <xf numFmtId="0" fontId="9" fillId="2" borderId="60" xfId="0" applyFont="1" applyFill="1" applyBorder="1"/>
    <xf numFmtId="3" fontId="0" fillId="2" borderId="57" xfId="0" applyNumberFormat="1" applyFill="1" applyBorder="1" applyAlignment="1">
      <alignment horizontal="center"/>
    </xf>
    <xf numFmtId="3" fontId="8" fillId="2" borderId="0" xfId="0" applyNumberFormat="1" applyFont="1" applyFill="1"/>
    <xf numFmtId="0" fontId="5" fillId="2" borderId="1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8" fillId="15" borderId="49" xfId="0" applyNumberFormat="1" applyFont="1" applyFill="1" applyBorder="1"/>
    <xf numFmtId="3" fontId="6" fillId="2" borderId="49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17" fillId="2" borderId="66" xfId="0" applyNumberFormat="1" applyFont="1" applyFill="1" applyBorder="1" applyAlignment="1">
      <alignment horizontal="center"/>
    </xf>
    <xf numFmtId="0" fontId="25" fillId="2" borderId="67" xfId="0" applyFont="1" applyFill="1" applyBorder="1" applyAlignment="1">
      <alignment horizontal="center"/>
    </xf>
    <xf numFmtId="0" fontId="25" fillId="2" borderId="68" xfId="0" applyFont="1" applyFill="1" applyBorder="1" applyAlignment="1">
      <alignment horizontal="center"/>
    </xf>
    <xf numFmtId="3" fontId="0" fillId="2" borderId="64" xfId="0" applyNumberFormat="1" applyFill="1" applyBorder="1" applyAlignment="1">
      <alignment horizontal="right"/>
    </xf>
    <xf numFmtId="3" fontId="0" fillId="2" borderId="28" xfId="0" applyNumberFormat="1" applyFill="1" applyBorder="1"/>
    <xf numFmtId="3" fontId="0" fillId="8" borderId="6" xfId="0" applyNumberFormat="1" applyFill="1" applyBorder="1"/>
    <xf numFmtId="3" fontId="0" fillId="8" borderId="7" xfId="0" applyNumberFormat="1" applyFill="1" applyBorder="1"/>
    <xf numFmtId="3" fontId="0" fillId="2" borderId="1" xfId="0" applyNumberFormat="1" applyFill="1" applyBorder="1" applyAlignment="1" applyProtection="1">
      <alignment horizontal="left"/>
      <protection locked="0"/>
    </xf>
    <xf numFmtId="3" fontId="0" fillId="2" borderId="2" xfId="0" applyNumberFormat="1" applyFill="1" applyBorder="1" applyAlignment="1">
      <alignment horizontal="left"/>
    </xf>
    <xf numFmtId="3" fontId="0" fillId="2" borderId="4" xfId="0" applyNumberFormat="1" applyFill="1" applyBorder="1" applyAlignment="1" applyProtection="1">
      <alignment horizontal="left"/>
      <protection locked="0"/>
    </xf>
    <xf numFmtId="3" fontId="0" fillId="2" borderId="5" xfId="0" applyNumberFormat="1" applyFill="1" applyBorder="1" applyAlignment="1">
      <alignment horizontal="left"/>
    </xf>
    <xf numFmtId="0" fontId="9" fillId="2" borderId="69" xfId="0" applyFont="1" applyFill="1" applyBorder="1"/>
    <xf numFmtId="0" fontId="11" fillId="2" borderId="69" xfId="0" applyFont="1" applyFill="1" applyBorder="1"/>
    <xf numFmtId="3" fontId="0" fillId="2" borderId="63" xfId="0" applyNumberFormat="1" applyFill="1" applyBorder="1"/>
    <xf numFmtId="0" fontId="9" fillId="2" borderId="70" xfId="0" applyFont="1" applyFill="1" applyBorder="1"/>
    <xf numFmtId="0" fontId="11" fillId="2" borderId="71" xfId="0" applyFont="1" applyFill="1" applyBorder="1"/>
    <xf numFmtId="3" fontId="0" fillId="15" borderId="67" xfId="0" applyNumberFormat="1" applyFill="1" applyBorder="1" applyAlignment="1" applyProtection="1">
      <alignment horizontal="center"/>
      <protection locked="0"/>
    </xf>
    <xf numFmtId="3" fontId="0" fillId="15" borderId="72" xfId="0" applyNumberFormat="1" applyFill="1" applyBorder="1" applyAlignment="1" applyProtection="1">
      <alignment horizontal="center"/>
      <protection locked="0"/>
    </xf>
    <xf numFmtId="3" fontId="0" fillId="15" borderId="73" xfId="0" applyNumberFormat="1" applyFill="1" applyBorder="1" applyAlignment="1" applyProtection="1">
      <alignment horizontal="center"/>
      <protection locked="0"/>
    </xf>
    <xf numFmtId="3" fontId="0" fillId="15" borderId="52" xfId="0" applyNumberFormat="1" applyFill="1" applyBorder="1" applyAlignment="1" applyProtection="1">
      <alignment horizontal="center"/>
      <protection locked="0"/>
    </xf>
    <xf numFmtId="3" fontId="0" fillId="15" borderId="49" xfId="0" applyNumberFormat="1" applyFill="1" applyBorder="1" applyAlignment="1" applyProtection="1">
      <alignment horizontal="center"/>
      <protection locked="0"/>
    </xf>
    <xf numFmtId="3" fontId="0" fillId="15" borderId="74" xfId="0" applyNumberFormat="1" applyFill="1" applyBorder="1" applyAlignment="1" applyProtection="1">
      <alignment horizontal="center"/>
      <protection locked="0"/>
    </xf>
    <xf numFmtId="170" fontId="0" fillId="2" borderId="17" xfId="0" applyNumberFormat="1" applyFill="1" applyBorder="1" applyAlignment="1">
      <alignment horizontal="center"/>
    </xf>
    <xf numFmtId="170" fontId="0" fillId="2" borderId="1" xfId="0" applyNumberFormat="1" applyFill="1" applyBorder="1" applyAlignment="1">
      <alignment horizontal="center"/>
    </xf>
    <xf numFmtId="170" fontId="0" fillId="2" borderId="11" xfId="0" applyNumberFormat="1" applyFill="1" applyBorder="1"/>
    <xf numFmtId="170" fontId="0" fillId="2" borderId="4" xfId="0" applyNumberFormat="1" applyFill="1" applyBorder="1"/>
    <xf numFmtId="2" fontId="5" fillId="2" borderId="9" xfId="0" applyNumberFormat="1" applyFont="1" applyFill="1" applyBorder="1" applyProtection="1">
      <protection locked="0"/>
    </xf>
    <xf numFmtId="3" fontId="0" fillId="15" borderId="51" xfId="0" applyNumberFormat="1" applyFill="1" applyBorder="1" applyAlignment="1" applyProtection="1">
      <alignment horizontal="center"/>
      <protection locked="0"/>
    </xf>
    <xf numFmtId="3" fontId="0" fillId="15" borderId="75" xfId="0" applyNumberFormat="1" applyFill="1" applyBorder="1" applyAlignment="1" applyProtection="1">
      <alignment horizontal="center"/>
      <protection locked="0"/>
    </xf>
    <xf numFmtId="170" fontId="0" fillId="2" borderId="0" xfId="0" applyNumberFormat="1" applyFill="1"/>
    <xf numFmtId="170" fontId="0" fillId="2" borderId="76" xfId="0" applyNumberFormat="1" applyFill="1" applyBorder="1"/>
    <xf numFmtId="170" fontId="0" fillId="2" borderId="77" xfId="0" applyNumberFormat="1" applyFill="1" applyBorder="1"/>
    <xf numFmtId="170" fontId="0" fillId="2" borderId="74" xfId="0" applyNumberFormat="1" applyFill="1" applyBorder="1"/>
    <xf numFmtId="170" fontId="0" fillId="2" borderId="78" xfId="0" applyNumberFormat="1" applyFill="1" applyBorder="1"/>
    <xf numFmtId="170" fontId="0" fillId="2" borderId="60" xfId="0" applyNumberFormat="1" applyFill="1" applyBorder="1"/>
    <xf numFmtId="0" fontId="5" fillId="2" borderId="79" xfId="0" applyFont="1" applyFill="1" applyBorder="1"/>
    <xf numFmtId="3" fontId="0" fillId="15" borderId="78" xfId="0" applyNumberFormat="1" applyFill="1" applyBorder="1" applyAlignment="1" applyProtection="1">
      <alignment horizontal="left"/>
      <protection locked="0"/>
    </xf>
    <xf numFmtId="170" fontId="0" fillId="2" borderId="80" xfId="0" applyNumberFormat="1" applyFill="1" applyBorder="1"/>
    <xf numFmtId="170" fontId="0" fillId="2" borderId="58" xfId="0" applyNumberFormat="1" applyFill="1" applyBorder="1"/>
    <xf numFmtId="170" fontId="0" fillId="2" borderId="81" xfId="0" applyNumberFormat="1" applyFill="1" applyBorder="1"/>
    <xf numFmtId="3" fontId="17" fillId="2" borderId="82" xfId="0" applyNumberFormat="1" applyFont="1" applyFill="1" applyBorder="1" applyAlignment="1">
      <alignment horizontal="center"/>
    </xf>
    <xf numFmtId="3" fontId="17" fillId="2" borderId="83" xfId="0" applyNumberFormat="1" applyFont="1" applyFill="1" applyBorder="1" applyAlignment="1">
      <alignment horizontal="center"/>
    </xf>
    <xf numFmtId="3" fontId="17" fillId="2" borderId="84" xfId="0" applyNumberFormat="1" applyFont="1" applyFill="1" applyBorder="1" applyAlignment="1">
      <alignment horizontal="center"/>
    </xf>
    <xf numFmtId="0" fontId="6" fillId="2" borderId="85" xfId="0" applyFont="1" applyFill="1" applyBorder="1"/>
    <xf numFmtId="0" fontId="9" fillId="2" borderId="65" xfId="0" applyFont="1" applyFill="1" applyBorder="1" applyAlignment="1">
      <alignment horizontal="center"/>
    </xf>
    <xf numFmtId="0" fontId="5" fillId="2" borderId="86" xfId="0" applyFont="1" applyFill="1" applyBorder="1" applyAlignment="1">
      <alignment horizontal="center"/>
    </xf>
    <xf numFmtId="3" fontId="5" fillId="2" borderId="87" xfId="0" applyNumberFormat="1" applyFont="1" applyFill="1" applyBorder="1" applyAlignment="1">
      <alignment horizontal="center"/>
    </xf>
    <xf numFmtId="3" fontId="5" fillId="2" borderId="88" xfId="0" applyNumberFormat="1" applyFont="1" applyFill="1" applyBorder="1" applyAlignment="1">
      <alignment horizontal="center"/>
    </xf>
    <xf numFmtId="170" fontId="0" fillId="2" borderId="11" xfId="0" applyNumberForma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5" fillId="2" borderId="86" xfId="0" applyFont="1" applyFill="1" applyBorder="1"/>
    <xf numFmtId="0" fontId="5" fillId="2" borderId="69" xfId="0" applyFont="1" applyFill="1" applyBorder="1"/>
    <xf numFmtId="0" fontId="5" fillId="2" borderId="89" xfId="0" applyFont="1" applyFill="1" applyBorder="1"/>
    <xf numFmtId="0" fontId="5" fillId="2" borderId="65" xfId="0" applyFont="1" applyFill="1" applyBorder="1"/>
    <xf numFmtId="0" fontId="5" fillId="2" borderId="87" xfId="0" applyFont="1" applyFill="1" applyBorder="1"/>
    <xf numFmtId="0" fontId="5" fillId="2" borderId="88" xfId="0" applyFont="1" applyFill="1" applyBorder="1"/>
    <xf numFmtId="3" fontId="0" fillId="15" borderId="68" xfId="0" applyNumberFormat="1" applyFill="1" applyBorder="1" applyAlignment="1" applyProtection="1">
      <alignment horizontal="center"/>
      <protection locked="0"/>
    </xf>
    <xf numFmtId="0" fontId="26" fillId="2" borderId="61" xfId="0" applyFont="1" applyFill="1" applyBorder="1"/>
    <xf numFmtId="0" fontId="26" fillId="2" borderId="62" xfId="0" applyFont="1" applyFill="1" applyBorder="1"/>
    <xf numFmtId="0" fontId="26" fillId="2" borderId="90" xfId="0" applyFont="1" applyFill="1" applyBorder="1"/>
    <xf numFmtId="0" fontId="9" fillId="2" borderId="91" xfId="0" applyFont="1" applyFill="1" applyBorder="1"/>
    <xf numFmtId="10" fontId="5" fillId="11" borderId="4" xfId="0" applyNumberFormat="1" applyFont="1" applyFill="1" applyBorder="1" applyAlignment="1" applyProtection="1">
      <alignment horizontal="center"/>
      <protection locked="0"/>
    </xf>
    <xf numFmtId="10" fontId="5" fillId="11" borderId="1" xfId="0" applyNumberFormat="1" applyFont="1" applyFill="1" applyBorder="1" applyAlignment="1" applyProtection="1">
      <alignment horizontal="center"/>
      <protection locked="0"/>
    </xf>
    <xf numFmtId="3" fontId="17" fillId="0" borderId="0" xfId="0" applyNumberFormat="1" applyFont="1" applyAlignment="1">
      <alignment horizontal="left" indent="1"/>
    </xf>
    <xf numFmtId="3" fontId="8" fillId="0" borderId="49" xfId="0" applyNumberFormat="1" applyFont="1" applyBorder="1"/>
    <xf numFmtId="0" fontId="9" fillId="2" borderId="86" xfId="0" applyFont="1" applyFill="1" applyBorder="1" applyAlignment="1">
      <alignment horizontal="center"/>
    </xf>
    <xf numFmtId="3" fontId="5" fillId="2" borderId="92" xfId="0" applyNumberFormat="1" applyFont="1" applyFill="1" applyBorder="1" applyAlignment="1">
      <alignment horizontal="center"/>
    </xf>
    <xf numFmtId="171" fontId="0" fillId="2" borderId="57" xfId="0" applyNumberFormat="1" applyFill="1" applyBorder="1" applyAlignment="1">
      <alignment horizontal="center"/>
    </xf>
    <xf numFmtId="171" fontId="0" fillId="2" borderId="58" xfId="0" applyNumberFormat="1" applyFill="1" applyBorder="1" applyAlignment="1">
      <alignment horizontal="center"/>
    </xf>
    <xf numFmtId="171" fontId="0" fillId="2" borderId="17" xfId="0" applyNumberFormat="1" applyFill="1" applyBorder="1" applyAlignment="1" applyProtection="1">
      <alignment horizontal="center"/>
      <protection locked="0"/>
    </xf>
    <xf numFmtId="171" fontId="0" fillId="2" borderId="1" xfId="0" applyNumberFormat="1" applyFill="1" applyBorder="1" applyAlignment="1" applyProtection="1">
      <alignment horizontal="center"/>
      <protection locked="0"/>
    </xf>
    <xf numFmtId="0" fontId="5" fillId="2" borderId="49" xfId="0" applyFont="1" applyFill="1" applyBorder="1" applyAlignment="1">
      <alignment horizontal="right"/>
    </xf>
    <xf numFmtId="3" fontId="0" fillId="8" borderId="93" xfId="0" applyNumberFormat="1" applyFill="1" applyBorder="1"/>
    <xf numFmtId="171" fontId="0" fillId="2" borderId="11" xfId="0" applyNumberFormat="1" applyFill="1" applyBorder="1" applyAlignment="1" applyProtection="1">
      <alignment horizontal="center"/>
      <protection locked="0"/>
    </xf>
    <xf numFmtId="171" fontId="0" fillId="2" borderId="4" xfId="0" applyNumberFormat="1" applyFill="1" applyBorder="1" applyAlignment="1" applyProtection="1">
      <alignment horizontal="center"/>
      <protection locked="0"/>
    </xf>
    <xf numFmtId="171" fontId="0" fillId="2" borderId="14" xfId="0" applyNumberFormat="1" applyFill="1" applyBorder="1" applyAlignment="1" applyProtection="1">
      <alignment horizontal="center"/>
      <protection locked="0"/>
    </xf>
    <xf numFmtId="171" fontId="0" fillId="2" borderId="9" xfId="0" applyNumberFormat="1" applyFill="1" applyBorder="1" applyAlignment="1" applyProtection="1">
      <alignment horizontal="center"/>
      <protection locked="0"/>
    </xf>
    <xf numFmtId="171" fontId="5" fillId="2" borderId="86" xfId="0" applyNumberFormat="1" applyFont="1" applyFill="1" applyBorder="1" applyAlignment="1">
      <alignment horizontal="center"/>
    </xf>
    <xf numFmtId="171" fontId="0" fillId="2" borderId="13" xfId="0" applyNumberFormat="1" applyFill="1" applyBorder="1" applyAlignment="1" applyProtection="1">
      <alignment horizontal="center"/>
      <protection locked="0"/>
    </xf>
    <xf numFmtId="171" fontId="0" fillId="2" borderId="6" xfId="0" applyNumberFormat="1" applyFill="1" applyBorder="1" applyAlignment="1" applyProtection="1">
      <alignment horizontal="center"/>
      <protection locked="0"/>
    </xf>
    <xf numFmtId="171" fontId="0" fillId="2" borderId="14" xfId="0" applyNumberFormat="1" applyFill="1" applyBorder="1" applyAlignment="1">
      <alignment horizontal="center"/>
    </xf>
    <xf numFmtId="171" fontId="0" fillId="0" borderId="9" xfId="0" applyNumberFormat="1" applyBorder="1" applyAlignment="1" applyProtection="1">
      <alignment horizontal="center"/>
      <protection locked="0"/>
    </xf>
    <xf numFmtId="171" fontId="5" fillId="2" borderId="65" xfId="0" applyNumberFormat="1" applyFont="1" applyFill="1" applyBorder="1" applyAlignment="1">
      <alignment horizontal="center"/>
    </xf>
    <xf numFmtId="171" fontId="5" fillId="2" borderId="87" xfId="0" applyNumberFormat="1" applyFont="1" applyFill="1" applyBorder="1" applyAlignment="1">
      <alignment horizontal="center"/>
    </xf>
    <xf numFmtId="171" fontId="5" fillId="2" borderId="92" xfId="0" applyNumberFormat="1" applyFont="1" applyFill="1" applyBorder="1" applyAlignment="1">
      <alignment horizontal="center"/>
    </xf>
    <xf numFmtId="171" fontId="0" fillId="2" borderId="60" xfId="0" applyNumberFormat="1" applyFill="1" applyBorder="1" applyAlignment="1">
      <alignment horizontal="center"/>
    </xf>
    <xf numFmtId="171" fontId="0" fillId="2" borderId="94" xfId="0" applyNumberFormat="1" applyFill="1" applyBorder="1" applyAlignment="1">
      <alignment horizontal="center"/>
    </xf>
    <xf numFmtId="172" fontId="0" fillId="2" borderId="70" xfId="0" applyNumberFormat="1" applyFill="1" applyBorder="1" applyAlignment="1">
      <alignment horizontal="right"/>
    </xf>
    <xf numFmtId="171" fontId="0" fillId="2" borderId="30" xfId="0" applyNumberFormat="1" applyFill="1" applyBorder="1" applyAlignment="1">
      <alignment horizontal="right"/>
    </xf>
    <xf numFmtId="171" fontId="17" fillId="2" borderId="95" xfId="0" applyNumberFormat="1" applyFont="1" applyFill="1" applyBorder="1" applyAlignment="1">
      <alignment horizontal="right"/>
    </xf>
    <xf numFmtId="171" fontId="17" fillId="2" borderId="70" xfId="0" applyNumberFormat="1" applyFont="1" applyFill="1" applyBorder="1" applyAlignment="1">
      <alignment horizontal="right"/>
    </xf>
    <xf numFmtId="3" fontId="0" fillId="2" borderId="10" xfId="0" applyNumberForma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4" borderId="10" xfId="0" applyFill="1" applyBorder="1"/>
    <xf numFmtId="3" fontId="28" fillId="0" borderId="53" xfId="0" applyNumberFormat="1" applyFont="1" applyBorder="1"/>
    <xf numFmtId="3" fontId="17" fillId="0" borderId="51" xfId="0" applyNumberFormat="1" applyFont="1" applyBorder="1"/>
    <xf numFmtId="10" fontId="0" fillId="0" borderId="11" xfId="0" applyNumberFormat="1" applyBorder="1" applyAlignment="1">
      <alignment horizontal="center"/>
    </xf>
    <xf numFmtId="10" fontId="0" fillId="0" borderId="49" xfId="0" applyNumberFormat="1" applyBorder="1" applyAlignment="1">
      <alignment horizontal="center"/>
    </xf>
    <xf numFmtId="0" fontId="29" fillId="0" borderId="0" xfId="0" applyFont="1"/>
    <xf numFmtId="0" fontId="0" fillId="10" borderId="7" xfId="0" applyFill="1" applyBorder="1"/>
    <xf numFmtId="0" fontId="0" fillId="10" borderId="2" xfId="0" applyFill="1" applyBorder="1"/>
    <xf numFmtId="3" fontId="0" fillId="10" borderId="1" xfId="0" applyNumberFormat="1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74" xfId="0" applyFill="1" applyBorder="1"/>
    <xf numFmtId="3" fontId="32" fillId="0" borderId="0" xfId="0" applyNumberFormat="1" applyFont="1"/>
    <xf numFmtId="0" fontId="33" fillId="0" borderId="0" xfId="0" applyFont="1"/>
    <xf numFmtId="0" fontId="5" fillId="2" borderId="96" xfId="0" applyFont="1" applyFill="1" applyBorder="1" applyAlignment="1">
      <alignment horizontal="left"/>
    </xf>
    <xf numFmtId="0" fontId="5" fillId="2" borderId="53" xfId="0" applyFont="1" applyFill="1" applyBorder="1" applyAlignment="1">
      <alignment horizontal="left"/>
    </xf>
    <xf numFmtId="171" fontId="0" fillId="2" borderId="110" xfId="0" applyNumberFormat="1" applyFill="1" applyBorder="1" applyAlignment="1" applyProtection="1">
      <alignment horizontal="center"/>
      <protection locked="0"/>
    </xf>
    <xf numFmtId="171" fontId="0" fillId="2" borderId="0" xfId="0" applyNumberFormat="1" applyFill="1" applyAlignment="1">
      <alignment horizontal="center"/>
    </xf>
    <xf numFmtId="0" fontId="27" fillId="2" borderId="74" xfId="0" applyFont="1" applyFill="1" applyBorder="1" applyAlignment="1">
      <alignment horizontal="center" vertical="center"/>
    </xf>
    <xf numFmtId="0" fontId="2" fillId="16" borderId="74" xfId="0" applyFont="1" applyFill="1" applyBorder="1"/>
    <xf numFmtId="171" fontId="0" fillId="0" borderId="14" xfId="0" applyNumberFormat="1" applyBorder="1" applyAlignment="1">
      <alignment horizontal="center"/>
    </xf>
    <xf numFmtId="14" fontId="8" fillId="2" borderId="8" xfId="0" applyNumberFormat="1" applyFont="1" applyFill="1" applyBorder="1" applyProtection="1">
      <protection locked="0"/>
    </xf>
    <xf numFmtId="3" fontId="8" fillId="2" borderId="8" xfId="0" applyNumberFormat="1" applyFont="1" applyFill="1" applyBorder="1" applyProtection="1">
      <protection locked="0"/>
    </xf>
    <xf numFmtId="2" fontId="5" fillId="11" borderId="14" xfId="0" applyNumberFormat="1" applyFont="1" applyFill="1" applyBorder="1" applyProtection="1">
      <protection locked="0"/>
    </xf>
    <xf numFmtId="3" fontId="8" fillId="0" borderId="6" xfId="0" applyNumberFormat="1" applyFont="1" applyBorder="1" applyProtection="1">
      <protection locked="0"/>
    </xf>
    <xf numFmtId="3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6" xfId="0" applyBorder="1" applyProtection="1">
      <protection locked="0"/>
    </xf>
    <xf numFmtId="10" fontId="5" fillId="16" borderId="14" xfId="0" applyNumberFormat="1" applyFont="1" applyFill="1" applyBorder="1" applyAlignment="1">
      <alignment horizontal="right"/>
    </xf>
    <xf numFmtId="3" fontId="0" fillId="0" borderId="6" xfId="0" applyNumberFormat="1" applyBorder="1" applyAlignment="1" applyProtection="1">
      <alignment horizontal="left"/>
      <protection locked="0"/>
    </xf>
    <xf numFmtId="164" fontId="17" fillId="0" borderId="14" xfId="0" applyNumberFormat="1" applyFont="1" applyBorder="1" applyAlignment="1" applyProtection="1">
      <alignment horizontal="left"/>
      <protection locked="0"/>
    </xf>
    <xf numFmtId="3" fontId="0" fillId="0" borderId="8" xfId="0" applyNumberFormat="1" applyBorder="1" applyProtection="1">
      <protection locked="0"/>
    </xf>
    <xf numFmtId="171" fontId="0" fillId="2" borderId="1" xfId="0" applyNumberFormat="1" applyFill="1" applyBorder="1" applyAlignment="1">
      <alignment horizontal="center"/>
    </xf>
    <xf numFmtId="0" fontId="8" fillId="0" borderId="11" xfId="0" applyFont="1" applyBorder="1"/>
    <xf numFmtId="0" fontId="4" fillId="0" borderId="0" xfId="0" applyFont="1"/>
    <xf numFmtId="3" fontId="5" fillId="2" borderId="17" xfId="0" applyNumberFormat="1" applyFont="1" applyFill="1" applyBorder="1"/>
    <xf numFmtId="0" fontId="0" fillId="0" borderId="3" xfId="0" applyBorder="1"/>
    <xf numFmtId="0" fontId="0" fillId="0" borderId="2" xfId="0" applyBorder="1"/>
    <xf numFmtId="0" fontId="5" fillId="2" borderId="14" xfId="0" applyFont="1" applyFill="1" applyBorder="1"/>
    <xf numFmtId="0" fontId="0" fillId="0" borderId="10" xfId="0" applyBorder="1"/>
    <xf numFmtId="3" fontId="8" fillId="2" borderId="11" xfId="0" applyNumberFormat="1" applyFont="1" applyFill="1" applyBorder="1" applyAlignment="1">
      <alignment horizontal="left" vertical="top"/>
    </xf>
    <xf numFmtId="0" fontId="0" fillId="0" borderId="5" xfId="0" applyBorder="1"/>
    <xf numFmtId="3" fontId="8" fillId="2" borderId="116" xfId="0" applyNumberFormat="1" applyFont="1" applyFill="1" applyBorder="1" applyAlignment="1" applyProtection="1">
      <alignment horizontal="left"/>
      <protection locked="0"/>
    </xf>
    <xf numFmtId="0" fontId="0" fillId="0" borderId="102" xfId="0" applyBorder="1" applyProtection="1">
      <protection locked="0"/>
    </xf>
    <xf numFmtId="3" fontId="0" fillId="2" borderId="121" xfId="0" applyNumberFormat="1" applyFill="1" applyBorder="1" applyAlignment="1" applyProtection="1">
      <alignment horizontal="left"/>
      <protection locked="0"/>
    </xf>
    <xf numFmtId="0" fontId="0" fillId="0" borderId="97" xfId="0" applyBorder="1" applyProtection="1">
      <protection locked="0"/>
    </xf>
    <xf numFmtId="3" fontId="0" fillId="2" borderId="14" xfId="0" applyNumberFormat="1" applyFill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3" fontId="8" fillId="2" borderId="13" xfId="0" applyNumberFormat="1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7" xfId="0" applyBorder="1" applyProtection="1">
      <protection locked="0"/>
    </xf>
    <xf numFmtId="0" fontId="5" fillId="2" borderId="10" xfId="0" applyFont="1" applyFill="1" applyBorder="1"/>
    <xf numFmtId="0" fontId="0" fillId="0" borderId="7" xfId="0" applyBorder="1"/>
    <xf numFmtId="171" fontId="9" fillId="2" borderId="118" xfId="0" applyNumberFormat="1" applyFont="1" applyFill="1" applyBorder="1" applyAlignment="1">
      <alignment horizontal="center" wrapText="1"/>
    </xf>
    <xf numFmtId="0" fontId="0" fillId="0" borderId="57" xfId="0" applyBorder="1"/>
    <xf numFmtId="0" fontId="5" fillId="2" borderId="10" xfId="0" applyFont="1" applyFill="1" applyBorder="1" applyAlignment="1">
      <alignment horizontal="left"/>
    </xf>
    <xf numFmtId="3" fontId="30" fillId="2" borderId="49" xfId="0" applyNumberFormat="1" applyFont="1" applyFill="1" applyBorder="1" applyAlignment="1" applyProtection="1">
      <alignment horizontal="left"/>
      <protection locked="0"/>
    </xf>
    <xf numFmtId="0" fontId="0" fillId="0" borderId="51" xfId="0" applyBorder="1" applyProtection="1">
      <protection locked="0"/>
    </xf>
    <xf numFmtId="0" fontId="8" fillId="2" borderId="1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5" fillId="2" borderId="17" xfId="0" applyFont="1" applyFill="1" applyBorder="1"/>
    <xf numFmtId="0" fontId="5" fillId="2" borderId="115" xfId="0" applyFont="1" applyFill="1" applyBorder="1"/>
    <xf numFmtId="0" fontId="0" fillId="0" borderId="55" xfId="0" applyBorder="1"/>
    <xf numFmtId="0" fontId="5" fillId="2" borderId="114" xfId="0" applyFont="1" applyFill="1" applyBorder="1"/>
    <xf numFmtId="0" fontId="0" fillId="0" borderId="103" xfId="0" applyBorder="1"/>
    <xf numFmtId="0" fontId="5" fillId="2" borderId="97" xfId="0" applyFont="1" applyFill="1" applyBorder="1" applyAlignment="1">
      <alignment horizontal="left"/>
    </xf>
    <xf numFmtId="0" fontId="0" fillId="0" borderId="97" xfId="0" applyBorder="1"/>
    <xf numFmtId="0" fontId="9" fillId="2" borderId="9" xfId="0" applyFont="1" applyFill="1" applyBorder="1" applyAlignment="1">
      <alignment horizontal="center" vertical="top" wrapText="1"/>
    </xf>
    <xf numFmtId="0" fontId="0" fillId="0" borderId="6" xfId="0" applyBorder="1"/>
    <xf numFmtId="0" fontId="5" fillId="2" borderId="14" xfId="0" applyFont="1" applyFill="1" applyBorder="1" applyAlignment="1">
      <alignment horizontal="center" vertical="top" wrapText="1"/>
    </xf>
    <xf numFmtId="0" fontId="0" fillId="0" borderId="13" xfId="0" applyBorder="1"/>
    <xf numFmtId="3" fontId="0" fillId="2" borderId="112" xfId="0" applyNumberFormat="1" applyFill="1" applyBorder="1" applyAlignment="1" applyProtection="1">
      <alignment horizontal="left"/>
      <protection locked="0"/>
    </xf>
    <xf numFmtId="0" fontId="0" fillId="0" borderId="101" xfId="0" applyBorder="1" applyProtection="1">
      <protection locked="0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93" xfId="0" applyFont="1" applyFill="1" applyBorder="1" applyAlignment="1" applyProtection="1">
      <alignment horizontal="center" vertical="top" wrapText="1"/>
      <protection locked="0"/>
    </xf>
    <xf numFmtId="0" fontId="0" fillId="0" borderId="56" xfId="0" applyBorder="1" applyProtection="1">
      <protection locked="0"/>
    </xf>
    <xf numFmtId="0" fontId="9" fillId="2" borderId="80" xfId="0" applyFont="1" applyFill="1" applyBorder="1"/>
    <xf numFmtId="0" fontId="0" fillId="0" borderId="60" xfId="0" applyBorder="1"/>
    <xf numFmtId="171" fontId="0" fillId="2" borderId="59" xfId="0" applyNumberFormat="1" applyFill="1" applyBorder="1" applyAlignment="1">
      <alignment horizontal="right"/>
    </xf>
    <xf numFmtId="0" fontId="0" fillId="0" borderId="64" xfId="0" applyBorder="1"/>
    <xf numFmtId="0" fontId="5" fillId="2" borderId="117" xfId="0" applyFont="1" applyFill="1" applyBorder="1"/>
    <xf numFmtId="0" fontId="0" fillId="0" borderId="111" xfId="0" applyBorder="1"/>
    <xf numFmtId="0" fontId="0" fillId="0" borderId="75" xfId="0" applyBorder="1"/>
    <xf numFmtId="3" fontId="0" fillId="2" borderId="122" xfId="0" applyNumberFormat="1" applyFill="1" applyBorder="1" applyAlignment="1">
      <alignment horizontal="right"/>
    </xf>
    <xf numFmtId="0" fontId="0" fillId="0" borderId="12" xfId="0" applyBorder="1"/>
    <xf numFmtId="0" fontId="8" fillId="2" borderId="93" xfId="0" applyFont="1" applyFill="1" applyBorder="1" applyAlignment="1" applyProtection="1">
      <alignment horizontal="left"/>
      <protection locked="0"/>
    </xf>
    <xf numFmtId="171" fontId="9" fillId="2" borderId="123" xfId="0" applyNumberFormat="1" applyFont="1" applyFill="1" applyBorder="1" applyAlignment="1">
      <alignment horizontal="center" wrapText="1"/>
    </xf>
    <xf numFmtId="0" fontId="0" fillId="0" borderId="100" xfId="0" applyBorder="1"/>
    <xf numFmtId="3" fontId="0" fillId="2" borderId="14" xfId="0" applyNumberFormat="1" applyFill="1" applyBorder="1" applyAlignment="1" applyProtection="1">
      <alignment horizontal="center"/>
      <protection locked="0"/>
    </xf>
    <xf numFmtId="0" fontId="5" fillId="2" borderId="49" xfId="0" applyFont="1" applyFill="1" applyBorder="1" applyAlignment="1">
      <alignment horizontal="left"/>
    </xf>
    <xf numFmtId="0" fontId="0" fillId="0" borderId="53" xfId="0" applyBorder="1"/>
    <xf numFmtId="0" fontId="0" fillId="0" borderId="51" xfId="0" applyBorder="1"/>
    <xf numFmtId="3" fontId="0" fillId="2" borderId="110" xfId="0" applyNumberFormat="1" applyFill="1" applyBorder="1" applyAlignment="1" applyProtection="1">
      <alignment horizontal="left"/>
      <protection locked="0"/>
    </xf>
    <xf numFmtId="0" fontId="0" fillId="0" borderId="99" xfId="0" applyBorder="1" applyProtection="1">
      <protection locked="0"/>
    </xf>
    <xf numFmtId="3" fontId="5" fillId="2" borderId="115" xfId="0" applyNumberFormat="1" applyFont="1" applyFill="1" applyBorder="1"/>
    <xf numFmtId="0" fontId="11" fillId="2" borderId="113" xfId="0" applyFont="1" applyFill="1" applyBorder="1"/>
    <xf numFmtId="0" fontId="0" fillId="0" borderId="63" xfId="0" applyBorder="1"/>
    <xf numFmtId="42" fontId="31" fillId="0" borderId="83" xfId="0" applyNumberFormat="1" applyFont="1" applyBorder="1" applyAlignment="1" applyProtection="1">
      <alignment horizontal="center"/>
      <protection locked="0"/>
    </xf>
    <xf numFmtId="0" fontId="0" fillId="0" borderId="98" xfId="0" applyBorder="1" applyProtection="1">
      <protection locked="0"/>
    </xf>
    <xf numFmtId="0" fontId="5" fillId="2" borderId="9" xfId="0" applyFont="1" applyFill="1" applyBorder="1" applyAlignment="1">
      <alignment horizontal="center" vertical="top" wrapText="1"/>
    </xf>
    <xf numFmtId="0" fontId="5" fillId="2" borderId="120" xfId="0" applyFont="1" applyFill="1" applyBorder="1"/>
    <xf numFmtId="0" fontId="0" fillId="0" borderId="96" xfId="0" applyBorder="1"/>
    <xf numFmtId="0" fontId="5" fillId="2" borderId="120" xfId="0" applyFont="1" applyFill="1" applyBorder="1" applyAlignment="1">
      <alignment horizontal="left"/>
    </xf>
    <xf numFmtId="171" fontId="9" fillId="2" borderId="119" xfId="0" applyNumberFormat="1" applyFont="1" applyFill="1" applyBorder="1" applyAlignment="1">
      <alignment horizontal="center" wrapText="1"/>
    </xf>
    <xf numFmtId="0" fontId="9" fillId="2" borderId="89" xfId="0" applyFont="1" applyFill="1" applyBorder="1"/>
    <xf numFmtId="0" fontId="0" fillId="0" borderId="65" xfId="0" applyBorder="1"/>
    <xf numFmtId="0" fontId="5" fillId="2" borderId="96" xfId="0" applyFont="1" applyFill="1" applyBorder="1" applyAlignment="1">
      <alignment horizontal="left"/>
    </xf>
    <xf numFmtId="0" fontId="5" fillId="2" borderId="112" xfId="0" applyFont="1" applyFill="1" applyBorder="1"/>
    <xf numFmtId="0" fontId="0" fillId="0" borderId="101" xfId="0" applyBorder="1"/>
    <xf numFmtId="3" fontId="0" fillId="2" borderId="114" xfId="0" applyNumberFormat="1" applyFill="1" applyBorder="1" applyAlignment="1" applyProtection="1">
      <alignment horizontal="left"/>
      <protection locked="0"/>
    </xf>
    <xf numFmtId="0" fontId="0" fillId="0" borderId="103" xfId="0" applyBorder="1" applyProtection="1">
      <protection locked="0"/>
    </xf>
    <xf numFmtId="0" fontId="5" fillId="2" borderId="2" xfId="0" applyFont="1" applyFill="1" applyBorder="1" applyAlignment="1">
      <alignment horizontal="left"/>
    </xf>
    <xf numFmtId="0" fontId="0" fillId="0" borderId="14" xfId="0" applyBorder="1" applyAlignment="1" applyProtection="1">
      <alignment horizontal="left"/>
      <protection locked="0"/>
    </xf>
    <xf numFmtId="0" fontId="0" fillId="0" borderId="18" xfId="0" applyBorder="1" applyProtection="1">
      <protection locked="0"/>
    </xf>
    <xf numFmtId="3" fontId="8" fillId="0" borderId="11" xfId="0" applyNumberFormat="1" applyFont="1" applyBorder="1"/>
    <xf numFmtId="3" fontId="0" fillId="0" borderId="13" xfId="0" applyNumberFormat="1" applyBorder="1" applyProtection="1">
      <protection locked="0"/>
    </xf>
    <xf numFmtId="0" fontId="0" fillId="0" borderId="11" xfId="0" applyBorder="1"/>
    <xf numFmtId="0" fontId="0" fillId="0" borderId="0" xfId="0"/>
    <xf numFmtId="3" fontId="5" fillId="0" borderId="17" xfId="0" applyNumberFormat="1" applyFont="1" applyBorder="1"/>
    <xf numFmtId="3" fontId="0" fillId="0" borderId="11" xfId="0" applyNumberFormat="1" applyBorder="1"/>
    <xf numFmtId="0" fontId="5" fillId="0" borderId="17" xfId="0" applyFont="1" applyBorder="1"/>
    <xf numFmtId="3" fontId="8" fillId="0" borderId="13" xfId="0" applyNumberFormat="1" applyFont="1" applyBorder="1" applyProtection="1">
      <protection locked="0"/>
    </xf>
    <xf numFmtId="3" fontId="17" fillId="2" borderId="124" xfId="0" applyNumberFormat="1" applyFont="1" applyFill="1" applyBorder="1" applyAlignment="1">
      <alignment horizontal="center" vertical="center"/>
    </xf>
    <xf numFmtId="0" fontId="0" fillId="0" borderId="62" xfId="0" applyBorder="1"/>
    <xf numFmtId="3" fontId="17" fillId="0" borderId="98" xfId="0" applyNumberFormat="1" applyFont="1" applyBorder="1" applyAlignment="1">
      <alignment horizontal="center"/>
    </xf>
    <xf numFmtId="0" fontId="0" fillId="0" borderId="98" xfId="0" applyBorder="1"/>
    <xf numFmtId="0" fontId="17" fillId="2" borderId="90" xfId="0" applyFont="1" applyFill="1" applyBorder="1" applyAlignment="1">
      <alignment horizontal="center" vertical="center"/>
    </xf>
    <xf numFmtId="0" fontId="0" fillId="0" borderId="69" xfId="0" applyBorder="1"/>
    <xf numFmtId="0" fontId="0" fillId="0" borderId="70" xfId="0" applyBorder="1"/>
    <xf numFmtId="42" fontId="17" fillId="2" borderId="124" xfId="0" applyNumberFormat="1" applyFont="1" applyFill="1" applyBorder="1" applyAlignment="1">
      <alignment horizontal="center" vertical="center"/>
    </xf>
    <xf numFmtId="0" fontId="0" fillId="0" borderId="107" xfId="0" applyBorder="1" applyAlignment="1">
      <alignment horizontal="center"/>
    </xf>
    <xf numFmtId="170" fontId="17" fillId="2" borderId="107" xfId="0" applyNumberFormat="1" applyFont="1" applyFill="1" applyBorder="1" applyAlignment="1">
      <alignment horizontal="right"/>
    </xf>
    <xf numFmtId="0" fontId="17" fillId="2" borderId="126" xfId="0" applyFont="1" applyFill="1" applyBorder="1" applyAlignment="1">
      <alignment horizontal="right" vertical="center"/>
    </xf>
    <xf numFmtId="0" fontId="0" fillId="0" borderId="104" xfId="0" applyBorder="1"/>
    <xf numFmtId="0" fontId="0" fillId="0" borderId="105" xfId="0" applyBorder="1"/>
    <xf numFmtId="0" fontId="5" fillId="2" borderId="60" xfId="0" applyFont="1" applyFill="1" applyBorder="1" applyAlignment="1">
      <alignment horizontal="center"/>
    </xf>
    <xf numFmtId="3" fontId="17" fillId="2" borderId="98" xfId="0" applyNumberFormat="1" applyFont="1" applyFill="1" applyBorder="1" applyAlignment="1">
      <alignment horizontal="center"/>
    </xf>
    <xf numFmtId="0" fontId="26" fillId="2" borderId="89" xfId="0" applyFont="1" applyFill="1" applyBorder="1" applyAlignment="1">
      <alignment horizontal="left"/>
    </xf>
    <xf numFmtId="3" fontId="17" fillId="2" borderId="124" xfId="0" applyNumberFormat="1" applyFont="1" applyFill="1" applyBorder="1" applyAlignment="1">
      <alignment horizontal="center"/>
    </xf>
    <xf numFmtId="0" fontId="0" fillId="0" borderId="107" xfId="0" applyBorder="1"/>
    <xf numFmtId="3" fontId="8" fillId="15" borderId="125" xfId="0" applyNumberFormat="1" applyFont="1" applyFill="1" applyBorder="1" applyAlignment="1" applyProtection="1">
      <alignment horizontal="center"/>
      <protection locked="0"/>
    </xf>
    <xf numFmtId="0" fontId="0" fillId="0" borderId="84" xfId="0" applyBorder="1" applyProtection="1">
      <protection locked="0"/>
    </xf>
    <xf numFmtId="0" fontId="17" fillId="2" borderId="106" xfId="0" applyFont="1" applyFill="1" applyBorder="1" applyAlignment="1">
      <alignment horizontal="center"/>
    </xf>
    <xf numFmtId="0" fontId="26" fillId="2" borderId="80" xfId="0" applyFont="1" applyFill="1" applyBorder="1" applyAlignment="1">
      <alignment horizontal="left"/>
    </xf>
    <xf numFmtId="0" fontId="8" fillId="2" borderId="94" xfId="0" applyFont="1" applyFill="1" applyBorder="1" applyAlignment="1" applyProtection="1">
      <alignment horizontal="left"/>
      <protection locked="0"/>
    </xf>
    <xf numFmtId="3" fontId="5" fillId="2" borderId="61" xfId="0" applyNumberFormat="1" applyFont="1" applyFill="1" applyBorder="1" applyAlignment="1">
      <alignment horizontal="center"/>
    </xf>
    <xf numFmtId="3" fontId="17" fillId="2" borderId="106" xfId="0" applyNumberFormat="1" applyFont="1" applyFill="1" applyBorder="1" applyAlignment="1">
      <alignment horizontal="center"/>
    </xf>
    <xf numFmtId="0" fontId="0" fillId="0" borderId="108" xfId="0" applyBorder="1"/>
    <xf numFmtId="3" fontId="17" fillId="2" borderId="63" xfId="0" applyNumberFormat="1" applyFont="1" applyFill="1" applyBorder="1" applyAlignment="1">
      <alignment horizontal="center"/>
    </xf>
    <xf numFmtId="0" fontId="0" fillId="0" borderId="109" xfId="0" applyBorder="1"/>
    <xf numFmtId="14" fontId="8" fillId="2" borderId="0" xfId="0" applyNumberFormat="1" applyFont="1" applyFill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0"/>
      <rgbColor rgb="00EFEFE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9525</xdr:colOff>
      <xdr:row>1</xdr:row>
      <xdr:rowOff>28575</xdr:rowOff>
    </xdr:to>
    <xdr:pic>
      <xdr:nvPicPr>
        <xdr:cNvPr id="1195" name="Bildobjek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1609725" cy="2952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128588</xdr:colOff>
      <xdr:row>2</xdr:row>
      <xdr:rowOff>4763</xdr:rowOff>
    </xdr:to>
    <xdr:pic>
      <xdr:nvPicPr>
        <xdr:cNvPr id="2164" name="Bildobjekt 2">
          <a:extLst>
            <a:ext uri="{FF2B5EF4-FFF2-40B4-BE49-F238E27FC236}">
              <a16:creationId xmlns:a16="http://schemas.microsoft.com/office/drawing/2014/main" id="{00000000-0008-0000-01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1504950" cy="338138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2</xdr:col>
      <xdr:colOff>95250</xdr:colOff>
      <xdr:row>2</xdr:row>
      <xdr:rowOff>76200</xdr:rowOff>
    </xdr:to>
    <xdr:pic>
      <xdr:nvPicPr>
        <xdr:cNvPr id="4221" name="Bildobjekt 2">
          <a:extLst>
            <a:ext uri="{FF2B5EF4-FFF2-40B4-BE49-F238E27FC236}">
              <a16:creationId xmlns:a16="http://schemas.microsoft.com/office/drawing/2014/main" id="{00000000-0008-0000-0300-00007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66675"/>
          <a:ext cx="1566863" cy="3048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71438</xdr:rowOff>
    </xdr:from>
    <xdr:to>
      <xdr:col>2</xdr:col>
      <xdr:colOff>104775</xdr:colOff>
      <xdr:row>2</xdr:row>
      <xdr:rowOff>0</xdr:rowOff>
    </xdr:to>
    <xdr:pic>
      <xdr:nvPicPr>
        <xdr:cNvPr id="5236" name="Bildobjekt 2">
          <a:extLst>
            <a:ext uri="{FF2B5EF4-FFF2-40B4-BE49-F238E27FC236}">
              <a16:creationId xmlns:a16="http://schemas.microsoft.com/office/drawing/2014/main" id="{00000000-0008-0000-0400-00007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71438"/>
          <a:ext cx="1485900" cy="385762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38100</xdr:colOff>
      <xdr:row>1</xdr:row>
      <xdr:rowOff>38100</xdr:rowOff>
    </xdr:to>
    <xdr:pic>
      <xdr:nvPicPr>
        <xdr:cNvPr id="7260" name="Bildobjekt 2">
          <a:extLst>
            <a:ext uri="{FF2B5EF4-FFF2-40B4-BE49-F238E27FC236}">
              <a16:creationId xmlns:a16="http://schemas.microsoft.com/office/drawing/2014/main" id="{00000000-0008-0000-0500-00005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1628775" cy="2952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2"/>
  <sheetViews>
    <sheetView showGridLines="0" showZeros="0" tabSelected="1" zoomScale="90" zoomScaleNormal="90" workbookViewId="0">
      <selection activeCell="G4" sqref="G4:H4"/>
    </sheetView>
  </sheetViews>
  <sheetFormatPr defaultColWidth="10.7109375" defaultRowHeight="12.75" x14ac:dyDescent="0.2"/>
  <cols>
    <col min="1" max="1" width="22.42578125" customWidth="1"/>
    <col min="2" max="2" width="5.7109375" customWidth="1"/>
    <col min="3" max="3" width="12.140625" customWidth="1"/>
    <col min="4" max="4" width="12.5703125" customWidth="1"/>
    <col min="5" max="5" width="11.85546875" customWidth="1"/>
    <col min="6" max="6" width="13.28515625" customWidth="1"/>
    <col min="7" max="7" width="26" bestFit="1" customWidth="1"/>
    <col min="8" max="8" width="15.28515625" customWidth="1"/>
    <col min="9" max="9" width="11" hidden="1" customWidth="1"/>
    <col min="10" max="10" width="10.5703125" hidden="1" customWidth="1"/>
    <col min="11" max="11" width="12.5703125" hidden="1" customWidth="1"/>
    <col min="12" max="12" width="3" customWidth="1"/>
    <col min="13" max="13" width="10.7109375" customWidth="1"/>
  </cols>
  <sheetData>
    <row r="1" spans="1:23" ht="22.5" customHeight="1" x14ac:dyDescent="0.25">
      <c r="A1" s="1"/>
      <c r="B1" s="2"/>
      <c r="C1" s="2"/>
      <c r="D1" s="6" t="s">
        <v>0</v>
      </c>
      <c r="E1" s="4"/>
      <c r="F1" s="4"/>
      <c r="G1" s="2"/>
      <c r="H1" s="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7.25" customHeight="1" x14ac:dyDescent="0.2">
      <c r="A2" s="1"/>
      <c r="B2" s="2"/>
      <c r="C2" s="2"/>
      <c r="D2" s="446" t="s">
        <v>1</v>
      </c>
      <c r="E2" s="447"/>
      <c r="F2" s="4"/>
      <c r="G2" s="2"/>
      <c r="H2" s="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13" customFormat="1" ht="10.5" customHeight="1" x14ac:dyDescent="0.2">
      <c r="A3" s="489" t="s">
        <v>2</v>
      </c>
      <c r="B3" s="465"/>
      <c r="C3" s="509" t="s">
        <v>3</v>
      </c>
      <c r="D3" s="510"/>
      <c r="E3" s="511"/>
      <c r="F3" s="377" t="s">
        <v>4</v>
      </c>
      <c r="G3" s="490" t="s">
        <v>5</v>
      </c>
      <c r="H3" s="491"/>
      <c r="I3" s="11"/>
      <c r="J3" s="11"/>
      <c r="K3" s="12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x14ac:dyDescent="0.2">
      <c r="A4" s="468" t="s">
        <v>338</v>
      </c>
      <c r="B4" s="469"/>
      <c r="C4" s="486"/>
      <c r="D4" s="487"/>
      <c r="E4" s="488"/>
      <c r="F4" s="579">
        <v>46166</v>
      </c>
      <c r="G4" s="470" t="s">
        <v>349</v>
      </c>
      <c r="H4" s="471"/>
      <c r="I4" s="5"/>
      <c r="J4" s="5"/>
      <c r="K4" s="2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">
      <c r="A5" s="502"/>
      <c r="B5" s="478"/>
      <c r="C5" s="476"/>
      <c r="D5" s="477"/>
      <c r="E5" s="478"/>
      <c r="F5" s="449"/>
      <c r="G5" s="503"/>
      <c r="H5" s="504"/>
      <c r="I5" s="5"/>
      <c r="J5" s="5"/>
      <c r="K5" s="2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s="13" customFormat="1" ht="9.75" customHeight="1" x14ac:dyDescent="0.2">
      <c r="A6" s="463" t="s">
        <v>6</v>
      </c>
      <c r="B6" s="465"/>
      <c r="C6" s="463" t="s">
        <v>7</v>
      </c>
      <c r="D6" s="464"/>
      <c r="E6" s="465"/>
      <c r="F6" s="28"/>
      <c r="G6" s="523" t="s">
        <v>8</v>
      </c>
      <c r="H6" s="491"/>
      <c r="I6" s="11"/>
      <c r="J6" s="11"/>
      <c r="K6" s="1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1" customFormat="1" x14ac:dyDescent="0.2">
      <c r="A7" s="476" t="s">
        <v>329</v>
      </c>
      <c r="B7" s="478"/>
      <c r="C7" s="476"/>
      <c r="D7" s="477"/>
      <c r="E7" s="478"/>
      <c r="F7" s="450"/>
      <c r="G7" s="514" t="s">
        <v>347</v>
      </c>
      <c r="H7" s="504"/>
      <c r="I7" s="29"/>
      <c r="J7" s="29"/>
      <c r="K7" s="30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 x14ac:dyDescent="0.2">
      <c r="A8" s="496" t="s">
        <v>9</v>
      </c>
      <c r="B8" s="479"/>
      <c r="C8" s="498" t="s">
        <v>10</v>
      </c>
      <c r="D8" s="498" t="s">
        <v>11</v>
      </c>
      <c r="E8" s="498" t="s">
        <v>12</v>
      </c>
      <c r="F8" s="498" t="s">
        <v>13</v>
      </c>
      <c r="G8" s="528" t="s">
        <v>14</v>
      </c>
      <c r="H8" s="479"/>
      <c r="I8" s="5"/>
      <c r="J8" s="5"/>
      <c r="K8" s="2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5" customHeight="1" x14ac:dyDescent="0.2">
      <c r="A9" s="497"/>
      <c r="B9" s="480"/>
      <c r="C9" s="499"/>
      <c r="D9" s="499"/>
      <c r="E9" s="499"/>
      <c r="F9" s="499"/>
      <c r="G9" s="497"/>
      <c r="H9" s="480"/>
      <c r="I9" s="5"/>
      <c r="J9" s="5"/>
      <c r="K9" s="21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" customHeight="1" x14ac:dyDescent="0.2">
      <c r="A10" s="466" t="s">
        <v>15</v>
      </c>
      <c r="B10" s="467"/>
      <c r="C10" s="403"/>
      <c r="D10" s="403"/>
      <c r="E10" s="403"/>
      <c r="F10" s="404">
        <v>2191900</v>
      </c>
      <c r="G10" s="517" t="s">
        <v>16</v>
      </c>
      <c r="H10" s="475"/>
      <c r="I10" s="5"/>
      <c r="J10" s="5"/>
      <c r="K10" s="2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5" customHeight="1" x14ac:dyDescent="0.2">
      <c r="A11" s="466" t="s">
        <v>7</v>
      </c>
      <c r="B11" s="467"/>
      <c r="C11" s="403"/>
      <c r="D11" s="403"/>
      <c r="E11" s="403"/>
      <c r="F11" s="404"/>
      <c r="G11" s="517"/>
      <c r="H11" s="475"/>
      <c r="I11" s="5"/>
      <c r="J11" s="5"/>
      <c r="K11" s="21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" customHeight="1" thickBot="1" x14ac:dyDescent="0.25">
      <c r="A12" s="492" t="s">
        <v>17</v>
      </c>
      <c r="B12" s="493"/>
      <c r="C12" s="403"/>
      <c r="D12" s="403"/>
      <c r="E12" s="403"/>
      <c r="F12" s="460">
        <f>Tillval!H46</f>
        <v>315288</v>
      </c>
      <c r="G12" s="538" t="s">
        <v>18</v>
      </c>
      <c r="H12" s="539"/>
      <c r="I12" s="5"/>
      <c r="J12" s="5"/>
      <c r="K12" s="21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5" customHeight="1" x14ac:dyDescent="0.2">
      <c r="A13" s="533" t="s">
        <v>19</v>
      </c>
      <c r="B13" s="534"/>
      <c r="C13" s="399" t="s">
        <v>20</v>
      </c>
      <c r="D13" s="379"/>
      <c r="E13" s="380"/>
      <c r="F13" s="400"/>
      <c r="G13" s="524" t="s">
        <v>21</v>
      </c>
      <c r="H13" s="525"/>
      <c r="I13" s="5"/>
      <c r="J13" s="5"/>
      <c r="K13" s="21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thickBot="1" x14ac:dyDescent="0.25">
      <c r="A14" s="505" t="s">
        <v>22</v>
      </c>
      <c r="B14" s="506"/>
      <c r="C14" s="401">
        <f>SUM(C10:C12)</f>
        <v>0</v>
      </c>
      <c r="D14" s="401">
        <f>SUM(D10:D12)</f>
        <v>0</v>
      </c>
      <c r="E14" s="402">
        <f>SUM(E10:E12)</f>
        <v>0</v>
      </c>
      <c r="F14" s="402">
        <f>SUM(F10:F12)</f>
        <v>2507188</v>
      </c>
      <c r="G14" s="507">
        <f>C14+D14+E14+F14</f>
        <v>2507188</v>
      </c>
      <c r="H14" s="508"/>
      <c r="I14" s="5"/>
      <c r="J14" s="5"/>
      <c r="K14" s="21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5" customHeight="1" x14ac:dyDescent="0.2">
      <c r="A15" s="46" t="s">
        <v>23</v>
      </c>
      <c r="B15" s="50"/>
      <c r="C15" s="407"/>
      <c r="D15" s="407"/>
      <c r="E15" s="407" t="s">
        <v>20</v>
      </c>
      <c r="F15" s="408"/>
      <c r="G15" s="500"/>
      <c r="H15" s="501"/>
      <c r="I15" s="5"/>
      <c r="J15" s="5"/>
      <c r="K15" s="21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" customHeight="1" x14ac:dyDescent="0.2">
      <c r="A16" s="7" t="s">
        <v>24</v>
      </c>
      <c r="B16" s="32"/>
      <c r="C16" s="403"/>
      <c r="D16" s="403"/>
      <c r="E16" s="403"/>
      <c r="F16" s="404">
        <v>210700</v>
      </c>
      <c r="G16" s="474" t="s">
        <v>339</v>
      </c>
      <c r="H16" s="47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4" ht="15" customHeight="1" x14ac:dyDescent="0.2">
      <c r="A17" s="7" t="s">
        <v>25</v>
      </c>
      <c r="B17" s="32"/>
      <c r="C17" s="403"/>
      <c r="D17" s="403"/>
      <c r="E17" s="403"/>
      <c r="F17" s="404"/>
      <c r="G17" s="474" t="s">
        <v>26</v>
      </c>
      <c r="H17" s="47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4" ht="15" customHeight="1" x14ac:dyDescent="0.2">
      <c r="A18" s="7" t="s">
        <v>27</v>
      </c>
      <c r="B18" s="32"/>
      <c r="C18" s="403"/>
      <c r="D18" s="403"/>
      <c r="E18" s="403"/>
      <c r="F18" s="404"/>
      <c r="G18" s="474"/>
      <c r="H18" s="47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4" ht="15" customHeight="1" x14ac:dyDescent="0.2">
      <c r="A19" s="7" t="s">
        <v>28</v>
      </c>
      <c r="B19" s="32"/>
      <c r="C19" s="403"/>
      <c r="D19" s="403"/>
      <c r="E19" s="403" t="s">
        <v>20</v>
      </c>
      <c r="F19" s="404"/>
      <c r="G19" s="474" t="s">
        <v>26</v>
      </c>
      <c r="H19" s="47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4" ht="15" customHeight="1" x14ac:dyDescent="0.2">
      <c r="A20" s="7" t="s">
        <v>29</v>
      </c>
      <c r="B20" s="32"/>
      <c r="C20" s="403"/>
      <c r="D20" s="403"/>
      <c r="E20" s="403"/>
      <c r="F20" s="404"/>
      <c r="G20" s="474" t="s">
        <v>26</v>
      </c>
      <c r="H20" s="47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4" ht="15" customHeight="1" x14ac:dyDescent="0.2">
      <c r="A21" s="7" t="s">
        <v>30</v>
      </c>
      <c r="B21" s="32"/>
      <c r="C21" s="403"/>
      <c r="D21" s="403"/>
      <c r="E21" s="403"/>
      <c r="F21" s="404"/>
      <c r="G21" s="474" t="s">
        <v>26</v>
      </c>
      <c r="H21" s="47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4" ht="15" customHeight="1" x14ac:dyDescent="0.2">
      <c r="A22" s="38" t="s">
        <v>31</v>
      </c>
      <c r="B22" s="39"/>
      <c r="C22" s="409"/>
      <c r="D22" s="409"/>
      <c r="E22" s="409"/>
      <c r="F22" s="410"/>
      <c r="G22" s="474" t="s">
        <v>26</v>
      </c>
      <c r="H22" s="47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4" ht="15" customHeight="1" x14ac:dyDescent="0.2">
      <c r="A23" s="7" t="s">
        <v>32</v>
      </c>
      <c r="B23" s="32"/>
      <c r="C23" s="403"/>
      <c r="D23" s="403"/>
      <c r="E23" s="403"/>
      <c r="F23" s="404"/>
      <c r="G23" s="474" t="s">
        <v>26</v>
      </c>
      <c r="H23" s="47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4" ht="15" customHeight="1" x14ac:dyDescent="0.2">
      <c r="A24" s="535" t="s">
        <v>33</v>
      </c>
      <c r="B24" s="530"/>
      <c r="C24" s="403"/>
      <c r="D24" s="403"/>
      <c r="E24" s="403"/>
      <c r="F24" s="404"/>
      <c r="G24" s="474" t="s">
        <v>26</v>
      </c>
      <c r="H24" s="47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4" ht="15" customHeight="1" x14ac:dyDescent="0.2">
      <c r="A25" s="7" t="s">
        <v>34</v>
      </c>
      <c r="B25" s="32"/>
      <c r="C25" s="403"/>
      <c r="D25" s="403"/>
      <c r="E25" s="403"/>
      <c r="F25" s="404"/>
      <c r="G25" s="474"/>
      <c r="H25" s="47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4" s="441" customFormat="1" ht="15" customHeight="1" x14ac:dyDescent="0.2">
      <c r="A26" s="7" t="s">
        <v>35</v>
      </c>
      <c r="B26" s="32"/>
      <c r="C26" s="403"/>
      <c r="D26" s="403"/>
      <c r="E26" s="403"/>
      <c r="F26" s="404"/>
      <c r="G26" s="36" t="s">
        <v>36</v>
      </c>
      <c r="H26" s="425"/>
      <c r="I26" s="440"/>
      <c r="J26" s="440"/>
      <c r="K26" s="440"/>
      <c r="L26" s="440"/>
      <c r="M26" s="440"/>
      <c r="N26" s="440"/>
      <c r="O26" s="440"/>
      <c r="P26" s="440"/>
      <c r="Q26" s="440"/>
      <c r="R26" s="440"/>
      <c r="S26" s="440"/>
      <c r="T26" s="440"/>
      <c r="U26" s="440"/>
      <c r="V26" s="440"/>
      <c r="W26" s="440"/>
    </row>
    <row r="27" spans="1:24" ht="15" customHeight="1" thickBot="1" x14ac:dyDescent="0.25">
      <c r="A27" s="7" t="s">
        <v>35</v>
      </c>
      <c r="B27" s="44"/>
      <c r="C27" s="403"/>
      <c r="D27" s="403"/>
      <c r="E27" s="403"/>
      <c r="F27" s="404"/>
      <c r="G27" s="474" t="s">
        <v>36</v>
      </c>
      <c r="H27" s="47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45"/>
    </row>
    <row r="28" spans="1:24" ht="15" customHeight="1" x14ac:dyDescent="0.2">
      <c r="A28" s="321" t="s">
        <v>37</v>
      </c>
      <c r="B28" s="325"/>
      <c r="C28" s="411">
        <f>SUM(C15:C27)</f>
        <v>0</v>
      </c>
      <c r="D28" s="411">
        <f>SUM(D15:D27)</f>
        <v>0</v>
      </c>
      <c r="E28" s="411">
        <f>SUM(E15:E27)</f>
        <v>0</v>
      </c>
      <c r="F28" s="411">
        <f>SUM(F15:F27)</f>
        <v>210700</v>
      </c>
      <c r="G28" s="346" t="s">
        <v>21</v>
      </c>
      <c r="H28" s="34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4" ht="15" customHeight="1" thickBot="1" x14ac:dyDescent="0.25">
      <c r="A29" s="322" t="s">
        <v>38</v>
      </c>
      <c r="B29" s="326"/>
      <c r="C29" s="401">
        <f>SUM(C15:C27)</f>
        <v>0</v>
      </c>
      <c r="D29" s="401">
        <f>SUM(D15:D27)</f>
        <v>0</v>
      </c>
      <c r="E29" s="401">
        <f>SUM(E15:E27)</f>
        <v>0</v>
      </c>
      <c r="F29" s="401">
        <f>SUM(F15:F27)</f>
        <v>210700</v>
      </c>
      <c r="G29" s="424">
        <f>C29+D29+E29+F29</f>
        <v>210700</v>
      </c>
      <c r="H29" s="3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4" ht="15" customHeight="1" x14ac:dyDescent="0.2">
      <c r="A30" s="536" t="s">
        <v>39</v>
      </c>
      <c r="B30" s="537"/>
      <c r="C30" s="412"/>
      <c r="D30" s="412"/>
      <c r="E30" s="412"/>
      <c r="F30" s="413">
        <v>449000</v>
      </c>
      <c r="G30" s="311" t="s">
        <v>348</v>
      </c>
      <c r="H30" s="3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4" ht="15" customHeight="1" x14ac:dyDescent="0.2">
      <c r="A31" s="466" t="s">
        <v>40</v>
      </c>
      <c r="B31" s="467"/>
      <c r="C31" s="448">
        <f>ROUND(IF(C30&lt;1,0,C30*0.015+825+50),-2)</f>
        <v>0</v>
      </c>
      <c r="D31" s="414">
        <f>ROUND(IF(D30&lt;1,0,D30*0.015+825+50),-2)</f>
        <v>0</v>
      </c>
      <c r="E31" s="414">
        <f>ROUND(IF(D30&lt;1,0,E30*0.015+825+50),-2)</f>
        <v>0</v>
      </c>
      <c r="F31" s="414">
        <f>ROUND(IF(F30&lt;1,0,F30*0.015+825+50),-2)</f>
        <v>7600</v>
      </c>
      <c r="G31" s="474" t="s">
        <v>41</v>
      </c>
      <c r="H31" s="47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4" ht="15" customHeight="1" x14ac:dyDescent="0.2">
      <c r="A32" s="466" t="s">
        <v>42</v>
      </c>
      <c r="B32" s="467"/>
      <c r="C32" s="409"/>
      <c r="D32" s="409"/>
      <c r="E32" s="409"/>
      <c r="F32" s="410">
        <v>65000</v>
      </c>
      <c r="G32" s="36" t="s">
        <v>43</v>
      </c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5" customHeight="1" x14ac:dyDescent="0.2">
      <c r="A33" s="466" t="s">
        <v>44</v>
      </c>
      <c r="B33" s="467"/>
      <c r="C33" s="409"/>
      <c r="D33" s="409"/>
      <c r="E33" s="409"/>
      <c r="F33" s="410"/>
      <c r="G33" s="36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" customHeight="1" x14ac:dyDescent="0.2">
      <c r="A34" s="466" t="s">
        <v>45</v>
      </c>
      <c r="B34" s="467"/>
      <c r="C34" s="409"/>
      <c r="D34" s="409"/>
      <c r="E34" s="409"/>
      <c r="F34" s="410"/>
      <c r="G34" s="36" t="s">
        <v>340</v>
      </c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5" customHeight="1" x14ac:dyDescent="0.2">
      <c r="A35" s="466" t="s">
        <v>46</v>
      </c>
      <c r="B35" s="467"/>
      <c r="C35" s="409"/>
      <c r="D35" s="409"/>
      <c r="E35" s="409"/>
      <c r="F35" s="410">
        <v>25000</v>
      </c>
      <c r="G35" s="36" t="s">
        <v>47</v>
      </c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" customHeight="1" x14ac:dyDescent="0.2">
      <c r="A36" s="466" t="s">
        <v>48</v>
      </c>
      <c r="B36" s="467"/>
      <c r="C36" s="409"/>
      <c r="D36" s="409">
        <v>0</v>
      </c>
      <c r="E36" s="409"/>
      <c r="F36" s="410">
        <v>54000</v>
      </c>
      <c r="G36" s="36" t="s">
        <v>49</v>
      </c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5" customHeight="1" x14ac:dyDescent="0.2">
      <c r="A37" s="466" t="s">
        <v>50</v>
      </c>
      <c r="B37" s="467"/>
      <c r="C37" s="409"/>
      <c r="D37" s="409"/>
      <c r="E37" s="409"/>
      <c r="F37" s="410"/>
      <c r="G37" s="36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" customHeight="1" x14ac:dyDescent="0.2">
      <c r="A38" s="466" t="s">
        <v>51</v>
      </c>
      <c r="B38" s="467"/>
      <c r="C38" s="409"/>
      <c r="D38" s="409"/>
      <c r="E38" s="409"/>
      <c r="F38" s="410"/>
      <c r="G38" s="36" t="s">
        <v>26</v>
      </c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5" customHeight="1" x14ac:dyDescent="0.2">
      <c r="A39" s="466" t="s">
        <v>52</v>
      </c>
      <c r="B39" s="467"/>
      <c r="C39" s="409"/>
      <c r="D39" s="409"/>
      <c r="E39" s="409"/>
      <c r="F39" s="410"/>
      <c r="G39" s="36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" customHeight="1" x14ac:dyDescent="0.2">
      <c r="A40" s="466" t="s">
        <v>53</v>
      </c>
      <c r="B40" s="467"/>
      <c r="C40" s="409"/>
      <c r="D40" s="409"/>
      <c r="E40" s="409"/>
      <c r="F40" s="415"/>
      <c r="G40" s="36" t="s">
        <v>54</v>
      </c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5" customHeight="1" x14ac:dyDescent="0.2">
      <c r="A41" s="466" t="s">
        <v>55</v>
      </c>
      <c r="B41" s="467"/>
      <c r="C41" s="409"/>
      <c r="D41" s="409"/>
      <c r="E41" s="409"/>
      <c r="F41" s="410"/>
      <c r="G41" s="36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" customHeight="1" x14ac:dyDescent="0.2">
      <c r="A42" s="466" t="s">
        <v>56</v>
      </c>
      <c r="B42" s="467"/>
      <c r="C42" s="409"/>
      <c r="D42" s="409"/>
      <c r="E42" s="409"/>
      <c r="F42" s="410"/>
      <c r="G42" s="36" t="s">
        <v>57</v>
      </c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5" customHeight="1" x14ac:dyDescent="0.2">
      <c r="A43" s="483" t="s">
        <v>58</v>
      </c>
      <c r="B43" s="467"/>
      <c r="C43" s="403"/>
      <c r="D43" s="403"/>
      <c r="E43" s="403"/>
      <c r="F43" s="404"/>
      <c r="G43" s="341"/>
      <c r="H43" s="34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" customHeight="1" x14ac:dyDescent="0.2">
      <c r="A44" s="540" t="s">
        <v>59</v>
      </c>
      <c r="B44" s="465"/>
      <c r="C44" s="403"/>
      <c r="D44" s="403"/>
      <c r="E44" s="403"/>
      <c r="F44" s="404"/>
      <c r="G44" s="341" t="s">
        <v>60</v>
      </c>
      <c r="H44" s="34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" customHeight="1" x14ac:dyDescent="0.2">
      <c r="A45" s="531" t="s">
        <v>61</v>
      </c>
      <c r="B45" s="530"/>
      <c r="C45" s="403"/>
      <c r="D45" s="403"/>
      <c r="E45" s="403"/>
      <c r="F45" s="404">
        <v>24000</v>
      </c>
      <c r="G45" s="341" t="s">
        <v>62</v>
      </c>
      <c r="H45" s="34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5" customHeight="1" x14ac:dyDescent="0.2">
      <c r="A46" s="443" t="s">
        <v>63</v>
      </c>
      <c r="B46" s="442"/>
      <c r="C46" s="403"/>
      <c r="D46" s="403"/>
      <c r="E46" s="403"/>
      <c r="F46" s="404"/>
      <c r="G46" s="341"/>
      <c r="H46" s="34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5" customHeight="1" x14ac:dyDescent="0.2">
      <c r="A47" s="443" t="s">
        <v>64</v>
      </c>
      <c r="B47" s="442"/>
      <c r="C47" s="403"/>
      <c r="D47" s="403"/>
      <c r="E47" s="403"/>
      <c r="F47" s="404">
        <v>25000</v>
      </c>
      <c r="G47" s="341" t="s">
        <v>65</v>
      </c>
      <c r="H47" s="34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" customHeight="1" x14ac:dyDescent="0.2">
      <c r="A48" s="535" t="s">
        <v>35</v>
      </c>
      <c r="B48" s="530"/>
      <c r="C48" s="403"/>
      <c r="D48" s="403"/>
      <c r="E48" s="403"/>
      <c r="F48" s="404"/>
      <c r="G48" s="341"/>
      <c r="H48" s="34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4.25" customHeight="1" x14ac:dyDescent="0.2">
      <c r="A49" s="529" t="s">
        <v>66</v>
      </c>
      <c r="B49" s="530"/>
      <c r="C49" s="403"/>
      <c r="D49" s="403"/>
      <c r="E49" s="403"/>
      <c r="F49" s="404"/>
      <c r="G49" s="36" t="s">
        <v>26</v>
      </c>
      <c r="H49" s="42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" customHeight="1" thickBot="1" x14ac:dyDescent="0.25">
      <c r="A50" s="494" t="s">
        <v>67</v>
      </c>
      <c r="B50" s="495"/>
      <c r="C50" s="403"/>
      <c r="D50" s="403" t="s">
        <v>20</v>
      </c>
      <c r="E50" s="403"/>
      <c r="F50" s="404"/>
      <c r="G50" s="36" t="s">
        <v>26</v>
      </c>
      <c r="H50" s="342"/>
      <c r="I50" s="5"/>
      <c r="J50" t="s">
        <v>68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5" customHeight="1" x14ac:dyDescent="0.2">
      <c r="A51" s="49" t="s">
        <v>69</v>
      </c>
      <c r="B51" s="394"/>
      <c r="C51" s="532">
        <f>SUM(C30:C50)</f>
        <v>0</v>
      </c>
      <c r="D51" s="481">
        <f>SUM(D30:D50)</f>
        <v>0</v>
      </c>
      <c r="E51" s="481">
        <f>SUM(E30:E50)</f>
        <v>0</v>
      </c>
      <c r="F51" s="515">
        <f>SUM(F30:F50)</f>
        <v>649600</v>
      </c>
      <c r="G51" s="349" t="s">
        <v>21</v>
      </c>
      <c r="H51" s="347"/>
      <c r="I51" s="5"/>
      <c r="J51" s="47">
        <f>G14+G29+G52+50000-Bokalkyl!H24</f>
        <v>3057488</v>
      </c>
      <c r="K51" s="5" t="s">
        <v>70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" customHeight="1" thickBot="1" x14ac:dyDescent="0.25">
      <c r="A52" s="322" t="s">
        <v>71</v>
      </c>
      <c r="B52" s="326"/>
      <c r="C52" s="506"/>
      <c r="D52" s="482"/>
      <c r="E52" s="482"/>
      <c r="F52" s="516"/>
      <c r="G52" s="423">
        <f>C51+D51+E51+F51</f>
        <v>649600</v>
      </c>
      <c r="H52" s="337"/>
      <c r="I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5" customHeight="1" thickBot="1" x14ac:dyDescent="0.25">
      <c r="A53" s="46" t="s">
        <v>72</v>
      </c>
      <c r="B53" s="50"/>
      <c r="C53" s="407"/>
      <c r="D53" s="444">
        <f>IF(G14=0,0,ROUND((J51)*0.02+600,-2))</f>
        <v>61700</v>
      </c>
      <c r="F53" s="408"/>
      <c r="G53" s="521" t="s">
        <v>73</v>
      </c>
      <c r="H53" s="522"/>
      <c r="I53" s="5"/>
      <c r="J53" s="48">
        <f>(G14+G29)</f>
        <v>2717888</v>
      </c>
      <c r="K53" s="5" t="s">
        <v>74</v>
      </c>
      <c r="L53" s="5"/>
      <c r="M53" s="5"/>
      <c r="N53" s="440"/>
      <c r="O53" s="5"/>
      <c r="P53" s="5"/>
      <c r="Q53" s="5"/>
      <c r="R53" s="5"/>
      <c r="S53" s="5"/>
      <c r="T53" s="5"/>
      <c r="U53" s="5"/>
      <c r="V53" s="5"/>
      <c r="W53" s="5"/>
    </row>
    <row r="54" spans="1:23" ht="15" customHeight="1" x14ac:dyDescent="0.2">
      <c r="A54" s="7" t="s">
        <v>75</v>
      </c>
      <c r="B54" s="451">
        <v>3.69</v>
      </c>
      <c r="C54" s="403"/>
      <c r="D54" s="445">
        <f>IF(G14=0,0,ROUND((J53-G59)*B54/100*20/52+J55*B54/100*0.5,-2))</f>
        <v>50600</v>
      </c>
      <c r="E54" s="403"/>
      <c r="F54" s="404"/>
      <c r="G54" s="484"/>
      <c r="H54" s="485"/>
      <c r="I54" s="343"/>
      <c r="K54" s="5"/>
      <c r="L54" s="5"/>
      <c r="M54" s="5"/>
      <c r="N54" s="440"/>
      <c r="O54" s="5"/>
      <c r="P54" s="5"/>
      <c r="Q54" s="5"/>
      <c r="R54" s="5"/>
      <c r="S54" s="5"/>
      <c r="T54" s="5"/>
      <c r="U54" s="5"/>
      <c r="V54" s="5"/>
      <c r="W54" s="5"/>
    </row>
    <row r="55" spans="1:23" ht="15" customHeight="1" thickBot="1" x14ac:dyDescent="0.25">
      <c r="A55" s="7" t="s">
        <v>76</v>
      </c>
      <c r="B55" s="32"/>
      <c r="C55" s="403"/>
      <c r="D55" s="403">
        <f>-TRUNC(D54*0.3,-2)</f>
        <v>-15100</v>
      </c>
      <c r="E55" s="403"/>
      <c r="F55" s="404"/>
      <c r="G55" s="472"/>
      <c r="H55" s="473"/>
      <c r="I55" s="5"/>
      <c r="J55" s="47">
        <f>G52</f>
        <v>649600</v>
      </c>
      <c r="K55" s="5" t="s">
        <v>77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" customHeight="1" x14ac:dyDescent="0.2">
      <c r="A56" s="321" t="s">
        <v>19</v>
      </c>
      <c r="B56" s="345"/>
      <c r="C56" s="411"/>
      <c r="D56" s="416"/>
      <c r="E56" s="417"/>
      <c r="F56" s="418"/>
      <c r="G56" s="346" t="s">
        <v>21</v>
      </c>
      <c r="H56" s="34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5" customHeight="1" thickBot="1" x14ac:dyDescent="0.25">
      <c r="A57" s="322" t="s">
        <v>78</v>
      </c>
      <c r="B57" s="348"/>
      <c r="C57" s="401">
        <f>SUM(C53:C55)</f>
        <v>0</v>
      </c>
      <c r="D57" s="419">
        <f>SUM(D53:D55)</f>
        <v>97200</v>
      </c>
      <c r="E57" s="402">
        <f>SUM(E53:E55)</f>
        <v>0</v>
      </c>
      <c r="F57" s="420"/>
      <c r="G57" s="421">
        <f>C57+D57+E57+F57</f>
        <v>97200</v>
      </c>
      <c r="H57" s="3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" customHeight="1" thickBot="1" x14ac:dyDescent="0.25">
      <c r="A58" s="46" t="s">
        <v>79</v>
      </c>
      <c r="B58" s="50"/>
      <c r="C58" s="407"/>
      <c r="D58" s="407"/>
      <c r="E58" s="407"/>
      <c r="F58" s="408"/>
      <c r="G58" s="343"/>
      <c r="H58" s="34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5" customHeight="1" thickBot="1" x14ac:dyDescent="0.25">
      <c r="A59" s="518" t="s">
        <v>80</v>
      </c>
      <c r="B59" s="519"/>
      <c r="C59" s="519"/>
      <c r="D59" s="520"/>
      <c r="E59" s="405"/>
      <c r="F59" s="405"/>
      <c r="G59" s="526">
        <v>0</v>
      </c>
      <c r="H59" s="52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x14ac:dyDescent="0.2">
      <c r="A60" s="40" t="s">
        <v>81</v>
      </c>
      <c r="B60" s="50"/>
      <c r="C60" s="339"/>
      <c r="D60" s="339"/>
      <c r="E60" s="340"/>
      <c r="F60" s="406"/>
      <c r="G60" s="316" t="s">
        <v>21</v>
      </c>
      <c r="H60" s="338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3.5" customHeight="1" thickBot="1" x14ac:dyDescent="0.25">
      <c r="A61" s="33" t="s">
        <v>82</v>
      </c>
      <c r="B61" s="34"/>
      <c r="C61" s="43">
        <f>SUM(C58:C59)</f>
        <v>0</v>
      </c>
      <c r="D61" s="43">
        <f>SUM(D58:D60)</f>
        <v>0</v>
      </c>
      <c r="E61" s="308">
        <f>SUM(E58:E60)</f>
        <v>0</v>
      </c>
      <c r="F61" s="307"/>
      <c r="G61" s="512">
        <f>C61+D61+E61</f>
        <v>0</v>
      </c>
      <c r="H61" s="51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x14ac:dyDescent="0.2">
      <c r="A62" s="437"/>
      <c r="B62" s="44"/>
      <c r="C62" s="437"/>
      <c r="D62" s="438"/>
      <c r="E62" s="438"/>
      <c r="F62" s="439"/>
      <c r="G62" s="309" t="s">
        <v>83</v>
      </c>
      <c r="H62" s="5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13.5" customHeight="1" thickBot="1" x14ac:dyDescent="0.25">
      <c r="A63" s="33" t="s">
        <v>84</v>
      </c>
      <c r="B63" s="34"/>
      <c r="C63" s="35"/>
      <c r="D63" s="52"/>
      <c r="E63" s="52"/>
      <c r="F63" s="310"/>
      <c r="G63" s="422">
        <f>G61+G57+G52+G29+G14</f>
        <v>3464688</v>
      </c>
      <c r="H63" s="4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x14ac:dyDescent="0.2">
      <c r="A64" s="2" t="s">
        <v>85</v>
      </c>
      <c r="B64" s="55"/>
      <c r="C64" s="55"/>
      <c r="D64" s="55"/>
      <c r="E64" s="55"/>
      <c r="F64" s="55"/>
      <c r="G64" s="267"/>
      <c r="H64" s="26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x14ac:dyDescent="0.2">
      <c r="A65" s="2"/>
      <c r="B65" s="55"/>
      <c r="C65" s="55"/>
      <c r="D65" s="55"/>
      <c r="E65" s="55"/>
      <c r="F65" s="55"/>
      <c r="G65" s="267"/>
      <c r="H65" s="26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0.5" customHeight="1" x14ac:dyDescent="0.2">
      <c r="A66" s="53"/>
      <c r="B66" s="2"/>
      <c r="C66" s="2"/>
      <c r="D66" s="2"/>
      <c r="E66" s="2"/>
      <c r="F66" s="2"/>
      <c r="G66" s="2"/>
      <c r="H66" s="2"/>
    </row>
    <row r="67" spans="1:23" x14ac:dyDescent="0.2">
      <c r="A67" s="2"/>
      <c r="B67" s="2"/>
      <c r="C67" s="2"/>
      <c r="D67" s="2"/>
      <c r="E67" s="2"/>
      <c r="F67" s="2"/>
      <c r="G67" s="2"/>
      <c r="H67" s="2"/>
    </row>
    <row r="68" spans="1:23" x14ac:dyDescent="0.2">
      <c r="A68" s="2"/>
      <c r="B68" s="2"/>
      <c r="C68" s="2"/>
      <c r="D68" s="2"/>
      <c r="E68" s="2"/>
      <c r="F68" s="2"/>
      <c r="G68" s="2"/>
      <c r="H68" s="2"/>
    </row>
    <row r="69" spans="1:23" x14ac:dyDescent="0.2">
      <c r="A69" s="2"/>
      <c r="B69" s="2"/>
      <c r="C69" s="2"/>
      <c r="D69" s="2"/>
      <c r="E69" s="2"/>
      <c r="F69" s="2"/>
      <c r="G69" s="2"/>
      <c r="H69" s="2"/>
    </row>
    <row r="70" spans="1:23" x14ac:dyDescent="0.2">
      <c r="A70" s="2"/>
      <c r="B70" s="2"/>
      <c r="C70" s="2"/>
      <c r="D70" s="2"/>
      <c r="E70" s="2"/>
      <c r="F70" s="2"/>
      <c r="G70" s="2"/>
      <c r="H70" s="2"/>
    </row>
    <row r="71" spans="1:23" x14ac:dyDescent="0.2">
      <c r="B71" s="2"/>
      <c r="C71" s="2"/>
      <c r="D71" s="2"/>
      <c r="E71" s="2"/>
      <c r="F71" s="2"/>
      <c r="G71" s="2"/>
      <c r="H71" s="2"/>
    </row>
    <row r="132" spans="1:23" ht="12.75" customHeight="1" x14ac:dyDescent="0.2">
      <c r="A132" s="54"/>
      <c r="B132" s="13"/>
      <c r="C132" s="55"/>
      <c r="D132" s="55"/>
      <c r="E132" s="55"/>
      <c r="F132" s="55"/>
      <c r="G132" s="56"/>
      <c r="H132" s="5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89" spans="1:30" x14ac:dyDescent="0.2">
      <c r="A189" s="5"/>
      <c r="B189" s="5"/>
      <c r="C189" s="5"/>
      <c r="D189" s="5"/>
      <c r="E189" s="5"/>
      <c r="F189" s="5"/>
      <c r="G189" s="5"/>
      <c r="H189" s="57"/>
      <c r="I189" s="57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"/>
      <c r="AA189" s="5"/>
      <c r="AB189" s="5"/>
      <c r="AC189" s="5"/>
      <c r="AD189" s="5"/>
    </row>
    <row r="190" spans="1:30" x14ac:dyDescent="0.2">
      <c r="A190" s="5"/>
      <c r="B190" s="5"/>
      <c r="C190" s="5"/>
      <c r="D190" s="5"/>
      <c r="E190" s="5"/>
      <c r="F190" s="5"/>
      <c r="G190" s="5"/>
      <c r="H190" s="5"/>
      <c r="I190" s="5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"/>
      <c r="AA190" s="5"/>
      <c r="AB190" s="5"/>
      <c r="AC190" s="5"/>
      <c r="AD190" s="5"/>
    </row>
    <row r="191" spans="1:30" x14ac:dyDescent="0.2">
      <c r="A191" s="5"/>
      <c r="B191" s="5"/>
      <c r="C191" s="5"/>
      <c r="D191" s="5"/>
      <c r="E191" s="5"/>
      <c r="F191" s="5"/>
      <c r="G191" s="5"/>
      <c r="H191" s="57"/>
      <c r="I191" s="57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"/>
      <c r="AA191" s="5"/>
      <c r="AB191" s="5"/>
      <c r="AC191" s="5"/>
      <c r="AD191" s="5"/>
    </row>
    <row r="192" spans="1:30" x14ac:dyDescent="0.2">
      <c r="A192" s="5"/>
      <c r="B192" s="5"/>
      <c r="C192" s="5"/>
      <c r="D192" s="5"/>
      <c r="E192" s="5"/>
      <c r="F192" s="5"/>
      <c r="G192" s="5"/>
      <c r="H192" s="57"/>
      <c r="I192" s="57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"/>
      <c r="AA192" s="5"/>
      <c r="AB192" s="5"/>
      <c r="AC192" s="5"/>
      <c r="AD192" s="5"/>
    </row>
    <row r="193" spans="1:30" x14ac:dyDescent="0.2">
      <c r="A193" s="5"/>
      <c r="B193" s="5"/>
      <c r="C193" s="5"/>
      <c r="D193" s="5"/>
      <c r="E193" s="5"/>
      <c r="F193" s="5"/>
      <c r="G193" s="5"/>
      <c r="H193" s="57"/>
      <c r="I193" s="57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"/>
      <c r="AA193" s="5"/>
      <c r="AB193" s="5"/>
      <c r="AC193" s="5"/>
      <c r="AD193" s="5"/>
    </row>
    <row r="194" spans="1:30" x14ac:dyDescent="0.2">
      <c r="A194" s="5"/>
      <c r="B194" s="5"/>
      <c r="C194" s="5"/>
      <c r="D194" s="5"/>
      <c r="E194" s="5"/>
      <c r="F194" s="5"/>
      <c r="G194" s="5"/>
      <c r="H194" s="57"/>
      <c r="I194" s="57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"/>
      <c r="AA194" s="5"/>
      <c r="AB194" s="5"/>
      <c r="AC194" s="5"/>
      <c r="AD194" s="5"/>
    </row>
    <row r="195" spans="1:30" x14ac:dyDescent="0.2">
      <c r="A195" s="5"/>
      <c r="B195" s="5"/>
      <c r="C195" s="5"/>
      <c r="D195" s="5"/>
      <c r="E195" s="5"/>
      <c r="F195" s="5"/>
      <c r="G195" s="5"/>
      <c r="H195" s="57"/>
      <c r="I195" s="57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"/>
      <c r="AA195" s="5"/>
      <c r="AB195" s="5"/>
      <c r="AC195" s="5"/>
      <c r="AD195" s="5"/>
    </row>
    <row r="196" spans="1:30" x14ac:dyDescent="0.2">
      <c r="A196" s="5"/>
      <c r="B196" s="5"/>
      <c r="C196" s="5"/>
      <c r="D196" s="5"/>
      <c r="E196" s="5"/>
      <c r="F196" s="5"/>
      <c r="G196" s="5"/>
      <c r="H196" s="57"/>
      <c r="I196" s="57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"/>
      <c r="AA196" s="5"/>
      <c r="AB196" s="5"/>
      <c r="AC196" s="5"/>
      <c r="AD196" s="5"/>
    </row>
    <row r="197" spans="1:30" x14ac:dyDescent="0.2">
      <c r="A197" s="5"/>
      <c r="B197" s="5"/>
      <c r="C197" s="5"/>
      <c r="D197" s="5"/>
      <c r="E197" s="5"/>
      <c r="F197" s="5"/>
      <c r="G197" s="5"/>
      <c r="H197" s="57"/>
      <c r="I197" s="57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"/>
      <c r="AA197" s="5"/>
      <c r="AB197" s="5"/>
      <c r="AC197" s="5"/>
      <c r="AD197" s="5"/>
    </row>
    <row r="198" spans="1:30" x14ac:dyDescent="0.2">
      <c r="A198" s="5"/>
      <c r="B198" s="5"/>
      <c r="C198" s="5"/>
      <c r="D198" s="5"/>
      <c r="E198" s="5"/>
      <c r="F198" s="5"/>
      <c r="G198" s="5"/>
      <c r="H198" s="57"/>
      <c r="I198" s="57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"/>
      <c r="AA198" s="5"/>
      <c r="AB198" s="5"/>
      <c r="AC198" s="5"/>
      <c r="AD198" s="5"/>
    </row>
    <row r="199" spans="1:30" x14ac:dyDescent="0.2">
      <c r="A199" s="5"/>
      <c r="B199" s="5"/>
      <c r="C199" s="5"/>
      <c r="D199" s="5"/>
      <c r="E199" s="5"/>
      <c r="F199" s="5"/>
      <c r="G199" s="5"/>
      <c r="H199" s="57"/>
      <c r="I199" s="57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"/>
      <c r="AA199" s="5"/>
      <c r="AB199" s="5"/>
      <c r="AC199" s="5"/>
      <c r="AD199" s="5"/>
    </row>
    <row r="200" spans="1:30" x14ac:dyDescent="0.2">
      <c r="A200" s="57"/>
      <c r="B200" s="57"/>
      <c r="C200" s="57"/>
      <c r="D200" s="57"/>
      <c r="E200" s="57"/>
      <c r="F200" s="57"/>
      <c r="G200" s="57"/>
      <c r="H200" s="58"/>
      <c r="I200" s="59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"/>
      <c r="AA200" s="5"/>
      <c r="AB200" s="5"/>
      <c r="AC200" s="5"/>
      <c r="AD200" s="5"/>
    </row>
    <row r="201" spans="1:30" x14ac:dyDescent="0.2">
      <c r="A201" s="57"/>
      <c r="B201" s="57"/>
      <c r="C201" s="57"/>
      <c r="D201" s="57"/>
      <c r="E201" s="57"/>
      <c r="F201" s="57"/>
      <c r="G201" s="57"/>
      <c r="H201" s="57"/>
      <c r="I201" s="57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"/>
      <c r="AA201" s="5"/>
      <c r="AB201" s="5"/>
      <c r="AC201" s="5"/>
      <c r="AD201" s="5"/>
    </row>
    <row r="202" spans="1:30" x14ac:dyDescent="0.2">
      <c r="A202" s="57"/>
      <c r="B202" s="57"/>
      <c r="C202" s="57"/>
      <c r="D202" s="57"/>
      <c r="E202" s="57"/>
      <c r="F202" s="57"/>
      <c r="G202" s="57"/>
      <c r="H202" s="57"/>
      <c r="I202" s="57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"/>
      <c r="AA202" s="5"/>
      <c r="AB202" s="5"/>
      <c r="AC202" s="5"/>
      <c r="AD202" s="5"/>
    </row>
    <row r="203" spans="1:30" x14ac:dyDescent="0.2">
      <c r="A203" s="57"/>
      <c r="B203" s="57"/>
      <c r="C203" s="57"/>
      <c r="D203" s="57"/>
      <c r="E203" s="57"/>
      <c r="F203" s="57"/>
      <c r="G203" s="57"/>
      <c r="H203" s="57"/>
      <c r="I203" s="57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"/>
      <c r="AA203" s="5"/>
      <c r="AB203" s="5"/>
      <c r="AC203" s="5"/>
      <c r="AD203" s="5"/>
    </row>
    <row r="204" spans="1:30" x14ac:dyDescent="0.2">
      <c r="A204" s="57"/>
      <c r="B204" s="57"/>
      <c r="C204" s="57"/>
      <c r="D204" s="57"/>
      <c r="E204" s="57"/>
      <c r="F204" s="57"/>
      <c r="G204" s="57"/>
      <c r="H204" s="57"/>
      <c r="I204" s="57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"/>
      <c r="AA204" s="5"/>
      <c r="AB204" s="5"/>
      <c r="AC204" s="5"/>
      <c r="AD204" s="5"/>
    </row>
    <row r="205" spans="1:30" x14ac:dyDescent="0.2">
      <c r="A205" s="57"/>
      <c r="B205" s="57"/>
      <c r="C205" s="57"/>
      <c r="D205" s="57"/>
      <c r="E205" s="57"/>
      <c r="F205" s="57"/>
      <c r="G205" s="57"/>
      <c r="H205" s="5"/>
      <c r="I205" s="5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"/>
      <c r="AA205" s="5"/>
      <c r="AB205" s="5"/>
      <c r="AC205" s="5"/>
      <c r="AD205" s="5"/>
    </row>
    <row r="206" spans="1:30" ht="18.75" customHeight="1" x14ac:dyDescent="0.3">
      <c r="A206" s="60"/>
      <c r="B206" s="5"/>
      <c r="C206" s="5"/>
      <c r="D206" s="5"/>
      <c r="E206" s="5"/>
      <c r="F206" s="5"/>
      <c r="G206" s="5"/>
      <c r="H206" s="5"/>
      <c r="I206" s="5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"/>
      <c r="AA206" s="5"/>
      <c r="AB206" s="5"/>
      <c r="AC206" s="5"/>
      <c r="AD206" s="5"/>
    </row>
    <row r="207" spans="1:30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"/>
      <c r="AA207" s="5"/>
      <c r="AB207" s="5"/>
      <c r="AC207" s="5"/>
      <c r="AD207" s="5"/>
    </row>
    <row r="208" spans="1:30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"/>
      <c r="AA208" s="5"/>
      <c r="AB208" s="5"/>
      <c r="AC208" s="5"/>
      <c r="AD208" s="5"/>
    </row>
    <row r="209" spans="1:30" x14ac:dyDescent="0.2">
      <c r="A209" s="5"/>
      <c r="B209" s="5"/>
      <c r="C209" s="5"/>
      <c r="D209" s="5"/>
      <c r="E209" s="5"/>
      <c r="F209" s="5"/>
      <c r="G209" s="5"/>
      <c r="H209" s="5"/>
      <c r="I209" s="61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"/>
      <c r="AA209" s="5"/>
      <c r="AB209" s="5"/>
      <c r="AC209" s="5"/>
      <c r="AD209" s="5"/>
    </row>
    <row r="210" spans="1:30" x14ac:dyDescent="0.2">
      <c r="A210" s="5"/>
      <c r="B210" s="5"/>
      <c r="C210" s="5"/>
      <c r="D210" s="5"/>
      <c r="E210" s="5"/>
      <c r="F210" s="5"/>
      <c r="G210" s="5"/>
      <c r="H210" s="5"/>
      <c r="I210" s="61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"/>
      <c r="AA210" s="5"/>
      <c r="AB210" s="5"/>
      <c r="AC210" s="5"/>
      <c r="AD210" s="5"/>
    </row>
    <row r="211" spans="1:30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"/>
      <c r="AA211" s="5"/>
      <c r="AB211" s="5"/>
      <c r="AC211" s="5"/>
      <c r="AD211" s="5"/>
    </row>
    <row r="212" spans="1:30" x14ac:dyDescent="0.2">
      <c r="A212" s="57"/>
      <c r="B212" s="57"/>
      <c r="C212" s="5"/>
      <c r="D212" s="5"/>
      <c r="E212" s="5"/>
      <c r="F212" s="5"/>
      <c r="G212" s="5"/>
      <c r="H212" s="5"/>
      <c r="I212" s="5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"/>
      <c r="AA212" s="5"/>
      <c r="AB212" s="5"/>
      <c r="AC212" s="5"/>
      <c r="AD212" s="5"/>
    </row>
    <row r="213" spans="1:30" x14ac:dyDescent="0.2">
      <c r="A213" s="57"/>
      <c r="B213" s="57"/>
      <c r="C213" s="5"/>
      <c r="D213" s="5"/>
      <c r="E213" s="5"/>
      <c r="F213" s="5"/>
      <c r="G213" s="5"/>
      <c r="H213" s="5"/>
      <c r="I213" s="5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"/>
      <c r="AA213" s="5"/>
      <c r="AB213" s="5"/>
      <c r="AC213" s="5"/>
      <c r="AD213" s="5"/>
    </row>
    <row r="214" spans="1:30" x14ac:dyDescent="0.2">
      <c r="A214" s="57"/>
      <c r="B214" s="57"/>
      <c r="C214" s="5"/>
      <c r="D214" s="5"/>
      <c r="E214" s="5"/>
      <c r="F214" s="5"/>
      <c r="G214" s="5"/>
      <c r="H214" s="57"/>
      <c r="I214" s="57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"/>
      <c r="AA214" s="5"/>
      <c r="AB214" s="5"/>
      <c r="AC214" s="5"/>
      <c r="AD214" s="5"/>
    </row>
    <row r="215" spans="1:30" x14ac:dyDescent="0.2">
      <c r="A215" s="57"/>
      <c r="B215" s="62"/>
      <c r="C215" s="57"/>
      <c r="D215" s="57"/>
      <c r="E215" s="57"/>
      <c r="F215" s="57"/>
      <c r="G215" s="57"/>
      <c r="H215" s="57"/>
      <c r="I215" s="57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"/>
      <c r="AA215" s="5"/>
      <c r="AB215" s="5"/>
      <c r="AC215" s="5"/>
      <c r="AD215" s="5"/>
    </row>
    <row r="216" spans="1:30" x14ac:dyDescent="0.2">
      <c r="A216" s="57"/>
      <c r="B216" s="57"/>
      <c r="C216" s="57"/>
      <c r="D216" s="57"/>
      <c r="E216" s="57"/>
      <c r="F216" s="57"/>
      <c r="G216" s="57"/>
      <c r="H216" s="57"/>
      <c r="I216" s="57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"/>
      <c r="AA216" s="5"/>
      <c r="AB216" s="5"/>
      <c r="AC216" s="5"/>
      <c r="AD216" s="5"/>
    </row>
    <row r="217" spans="1:30" x14ac:dyDescent="0.2">
      <c r="A217" s="57"/>
      <c r="B217" s="57"/>
      <c r="C217" s="57"/>
      <c r="D217" s="57"/>
      <c r="E217" s="57"/>
      <c r="F217" s="57"/>
      <c r="G217" s="57"/>
      <c r="H217" s="5"/>
      <c r="I217" s="5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"/>
      <c r="AA217" s="5"/>
      <c r="AB217" s="5"/>
      <c r="AC217" s="5"/>
      <c r="AD217" s="5"/>
    </row>
    <row r="218" spans="1:30" ht="20.25" customHeight="1" x14ac:dyDescent="0.3">
      <c r="A218" s="63"/>
      <c r="B218" s="64"/>
      <c r="C218" s="64"/>
      <c r="D218" s="64"/>
      <c r="E218" s="5"/>
      <c r="F218" s="5"/>
      <c r="G218" s="5"/>
      <c r="H218" s="57"/>
      <c r="I218" s="57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"/>
      <c r="AA218" s="5"/>
      <c r="AB218" s="5"/>
      <c r="AC218" s="5"/>
      <c r="AD218" s="5"/>
    </row>
    <row r="219" spans="1:30" x14ac:dyDescent="0.2">
      <c r="A219" s="57"/>
      <c r="B219" s="57"/>
      <c r="C219" s="57"/>
      <c r="D219" s="57"/>
      <c r="E219" s="57"/>
      <c r="F219" s="57"/>
      <c r="G219" s="57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"/>
      <c r="AA219" s="5"/>
      <c r="AB219" s="5"/>
      <c r="AC219" s="5"/>
      <c r="AD219" s="5"/>
    </row>
    <row r="220" spans="1:30" x14ac:dyDescent="0.2">
      <c r="A220" s="57"/>
      <c r="B220" s="65"/>
      <c r="C220" s="65"/>
      <c r="D220" s="65"/>
      <c r="E220" s="65"/>
      <c r="F220" s="65"/>
      <c r="G220" s="65"/>
      <c r="H220" s="6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"/>
      <c r="AA220" s="5"/>
      <c r="AB220" s="5"/>
      <c r="AC220" s="5"/>
      <c r="AD220" s="5"/>
    </row>
    <row r="221" spans="1:30" x14ac:dyDescent="0.2">
      <c r="A221" s="57"/>
      <c r="B221" s="5"/>
      <c r="C221" s="5"/>
      <c r="D221" s="5"/>
      <c r="E221" s="5"/>
      <c r="F221" s="5"/>
      <c r="G221" s="5"/>
      <c r="H221" s="5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"/>
      <c r="AA221" s="5"/>
      <c r="AB221" s="5"/>
      <c r="AC221" s="5"/>
      <c r="AD221" s="5"/>
    </row>
    <row r="222" spans="1:30" x14ac:dyDescent="0.2">
      <c r="A222" s="57"/>
      <c r="B222" s="5"/>
      <c r="C222" s="5"/>
      <c r="D222" s="5"/>
      <c r="E222" s="5"/>
      <c r="F222" s="5"/>
      <c r="G222" s="5"/>
      <c r="H222" s="5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"/>
      <c r="AA222" s="5"/>
      <c r="AB222" s="5"/>
      <c r="AC222" s="5"/>
      <c r="AD222" s="5"/>
    </row>
    <row r="223" spans="1:30" x14ac:dyDescent="0.2">
      <c r="A223" s="57"/>
      <c r="B223" s="5"/>
      <c r="C223" s="5"/>
      <c r="D223" s="5"/>
      <c r="E223" s="5"/>
      <c r="F223" s="5"/>
      <c r="G223" s="5"/>
      <c r="H223" s="5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"/>
      <c r="AA223" s="5"/>
      <c r="AB223" s="5"/>
      <c r="AC223" s="5"/>
      <c r="AD223" s="5"/>
    </row>
    <row r="224" spans="1:30" x14ac:dyDescent="0.2">
      <c r="A224" s="57"/>
      <c r="B224" s="5"/>
      <c r="C224" s="67"/>
      <c r="D224" s="67"/>
      <c r="E224" s="67"/>
      <c r="F224" s="67"/>
      <c r="G224" s="67"/>
      <c r="H224" s="67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"/>
      <c r="AA224" s="5"/>
      <c r="AB224" s="5"/>
      <c r="AC224" s="5"/>
      <c r="AD224" s="5"/>
    </row>
    <row r="225" spans="1:30" x14ac:dyDescent="0.2">
      <c r="A225" s="5"/>
      <c r="B225" s="5"/>
      <c r="C225" s="67"/>
      <c r="D225" s="67"/>
      <c r="E225" s="67"/>
      <c r="F225" s="67"/>
      <c r="G225" s="67"/>
      <c r="H225" s="67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"/>
      <c r="AA225" s="5"/>
      <c r="AB225" s="5"/>
      <c r="AC225" s="5"/>
      <c r="AD225" s="5"/>
    </row>
    <row r="226" spans="1:30" x14ac:dyDescent="0.2">
      <c r="A226" s="5"/>
      <c r="B226" s="5"/>
      <c r="C226" s="67"/>
      <c r="D226" s="67"/>
      <c r="E226" s="67"/>
      <c r="F226" s="67"/>
      <c r="G226" s="67"/>
      <c r="H226" s="67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"/>
      <c r="AA226" s="5"/>
      <c r="AB226" s="5"/>
      <c r="AC226" s="5"/>
      <c r="AD226" s="5"/>
    </row>
    <row r="227" spans="1:30" x14ac:dyDescent="0.2">
      <c r="A227" s="5"/>
      <c r="B227" s="5"/>
      <c r="C227" s="67"/>
      <c r="D227" s="67"/>
      <c r="E227" s="67"/>
      <c r="F227" s="67"/>
      <c r="G227" s="67"/>
      <c r="H227" s="67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"/>
      <c r="AA227" s="5"/>
      <c r="AB227" s="5"/>
      <c r="AC227" s="5"/>
      <c r="AD227" s="5"/>
    </row>
    <row r="228" spans="1:30" x14ac:dyDescent="0.2">
      <c r="A228" s="5"/>
      <c r="B228" s="5"/>
      <c r="C228" s="67"/>
      <c r="D228" s="67"/>
      <c r="E228" s="67"/>
      <c r="F228" s="67"/>
      <c r="G228" s="67"/>
      <c r="H228" s="67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"/>
      <c r="AA228" s="5"/>
      <c r="AB228" s="5"/>
      <c r="AC228" s="5"/>
      <c r="AD228" s="5"/>
    </row>
    <row r="229" spans="1:30" x14ac:dyDescent="0.2">
      <c r="A229" s="5"/>
      <c r="B229" s="5"/>
      <c r="C229" s="67"/>
      <c r="D229" s="67"/>
      <c r="E229" s="67"/>
      <c r="F229" s="67"/>
      <c r="G229" s="67"/>
      <c r="H229" s="2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"/>
      <c r="AA229" s="5"/>
      <c r="AB229" s="5"/>
      <c r="AC229" s="5"/>
      <c r="AD229" s="5"/>
    </row>
    <row r="230" spans="1:30" x14ac:dyDescent="0.2">
      <c r="A230" s="5"/>
      <c r="B230" s="5"/>
      <c r="C230" s="67"/>
      <c r="D230" s="67"/>
      <c r="E230" s="67"/>
      <c r="F230" s="67"/>
      <c r="G230" s="67"/>
      <c r="H230" s="67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"/>
      <c r="AA230" s="5"/>
      <c r="AB230" s="5"/>
      <c r="AC230" s="5"/>
      <c r="AD230" s="5"/>
    </row>
    <row r="231" spans="1:30" x14ac:dyDescent="0.2">
      <c r="A231" s="5"/>
      <c r="B231" s="5"/>
      <c r="C231" s="67"/>
      <c r="D231" s="67"/>
      <c r="E231" s="67"/>
      <c r="F231" s="67"/>
      <c r="G231" s="67"/>
      <c r="H231" s="67"/>
      <c r="I231" s="5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"/>
      <c r="AA231" s="5"/>
      <c r="AB231" s="5"/>
      <c r="AC231" s="5"/>
      <c r="AD231" s="5"/>
    </row>
    <row r="232" spans="1:30" x14ac:dyDescent="0.2">
      <c r="A232" s="68"/>
      <c r="B232" s="57"/>
      <c r="C232" s="67"/>
      <c r="D232" s="69"/>
      <c r="E232" s="67"/>
      <c r="F232" s="67"/>
      <c r="G232" s="67"/>
      <c r="H232" s="67"/>
      <c r="I232" s="5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"/>
      <c r="AA232" s="5"/>
      <c r="AB232" s="5"/>
      <c r="AC232" s="5"/>
      <c r="AD232" s="5"/>
    </row>
    <row r="233" spans="1:30" x14ac:dyDescent="0.2">
      <c r="A233" s="68"/>
      <c r="B233" s="57"/>
      <c r="C233" s="5"/>
      <c r="D233" s="70"/>
      <c r="E233" s="57"/>
      <c r="F233" s="57"/>
      <c r="G233" s="5"/>
      <c r="H233" s="5"/>
      <c r="I233" s="5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"/>
      <c r="AA233" s="5"/>
      <c r="AB233" s="5"/>
      <c r="AC233" s="5"/>
      <c r="AD233" s="5"/>
    </row>
    <row r="234" spans="1:30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"/>
      <c r="AA234" s="5"/>
      <c r="AB234" s="5"/>
      <c r="AC234" s="5"/>
      <c r="AD234" s="5"/>
    </row>
    <row r="235" spans="1:30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"/>
      <c r="AA235" s="5"/>
      <c r="AB235" s="5"/>
      <c r="AC235" s="5"/>
      <c r="AD235" s="5"/>
    </row>
    <row r="236" spans="1:30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"/>
      <c r="AA236" s="5"/>
      <c r="AB236" s="5"/>
      <c r="AC236" s="5"/>
      <c r="AD236" s="5"/>
    </row>
    <row r="237" spans="1:30" x14ac:dyDescent="0.2">
      <c r="A237" s="5"/>
      <c r="B237" s="5"/>
      <c r="C237" s="5"/>
      <c r="D237" s="5"/>
      <c r="E237" s="5"/>
      <c r="F237" s="5"/>
      <c r="G237" s="5"/>
      <c r="H237" s="57"/>
      <c r="I237" s="57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"/>
      <c r="AA237" s="5"/>
      <c r="AB237" s="5"/>
      <c r="AC237" s="5"/>
      <c r="AD237" s="5"/>
    </row>
    <row r="238" spans="1:30" x14ac:dyDescent="0.2">
      <c r="A238" s="57"/>
      <c r="B238" s="57"/>
      <c r="C238" s="57"/>
      <c r="D238" s="57"/>
      <c r="E238" s="57"/>
      <c r="F238" s="57"/>
      <c r="G238" s="57"/>
      <c r="H238" s="57"/>
      <c r="I238" s="57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"/>
      <c r="AA238" s="5"/>
      <c r="AB238" s="5"/>
      <c r="AC238" s="5"/>
      <c r="AD238" s="5"/>
    </row>
    <row r="239" spans="1:30" x14ac:dyDescent="0.2">
      <c r="A239" s="56"/>
      <c r="B239" s="56"/>
      <c r="C239" s="56"/>
      <c r="D239" s="56"/>
      <c r="E239" s="56"/>
      <c r="F239" s="56"/>
      <c r="G239" s="56"/>
      <c r="H239" s="56"/>
      <c r="I239" s="56"/>
    </row>
    <row r="240" spans="1:30" x14ac:dyDescent="0.2">
      <c r="I240" s="56"/>
    </row>
    <row r="241" spans="1:9" x14ac:dyDescent="0.2">
      <c r="I241" s="56"/>
    </row>
    <row r="242" spans="1:9" x14ac:dyDescent="0.2">
      <c r="A242" s="56"/>
      <c r="B242" s="56"/>
      <c r="C242" s="56"/>
      <c r="D242" s="56"/>
      <c r="E242" s="56"/>
      <c r="F242" s="56"/>
      <c r="G242" s="56"/>
      <c r="H242" s="56"/>
      <c r="I242" s="56"/>
    </row>
  </sheetData>
  <mergeCells count="76">
    <mergeCell ref="G21:H21"/>
    <mergeCell ref="A48:B48"/>
    <mergeCell ref="A24:B24"/>
    <mergeCell ref="A30:B30"/>
    <mergeCell ref="G12:H12"/>
    <mergeCell ref="G31:H31"/>
    <mergeCell ref="A44:B44"/>
    <mergeCell ref="G22:H22"/>
    <mergeCell ref="A31:B31"/>
    <mergeCell ref="A39:B39"/>
    <mergeCell ref="A34:B34"/>
    <mergeCell ref="A40:B40"/>
    <mergeCell ref="E8:E9"/>
    <mergeCell ref="G59:H59"/>
    <mergeCell ref="G8:G9"/>
    <mergeCell ref="A11:B11"/>
    <mergeCell ref="G11:H11"/>
    <mergeCell ref="A49:B49"/>
    <mergeCell ref="G27:H27"/>
    <mergeCell ref="A45:B45"/>
    <mergeCell ref="E51:E52"/>
    <mergeCell ref="B8:B9"/>
    <mergeCell ref="A36:B36"/>
    <mergeCell ref="G23:H23"/>
    <mergeCell ref="G18:H18"/>
    <mergeCell ref="C51:C52"/>
    <mergeCell ref="A42:B42"/>
    <mergeCell ref="A13:B13"/>
    <mergeCell ref="G61:H61"/>
    <mergeCell ref="G17:H17"/>
    <mergeCell ref="A6:B6"/>
    <mergeCell ref="A7:B7"/>
    <mergeCell ref="G7:H7"/>
    <mergeCell ref="F8:F9"/>
    <mergeCell ref="A41:B41"/>
    <mergeCell ref="F51:F52"/>
    <mergeCell ref="G10:H10"/>
    <mergeCell ref="G19:H19"/>
    <mergeCell ref="A37:B37"/>
    <mergeCell ref="A59:D59"/>
    <mergeCell ref="G53:H53"/>
    <mergeCell ref="G6:H6"/>
    <mergeCell ref="G13:H13"/>
    <mergeCell ref="C7:E7"/>
    <mergeCell ref="A3:B3"/>
    <mergeCell ref="G3:H3"/>
    <mergeCell ref="A12:B12"/>
    <mergeCell ref="A50:B50"/>
    <mergeCell ref="A8:A9"/>
    <mergeCell ref="C8:C9"/>
    <mergeCell ref="G24:H24"/>
    <mergeCell ref="A33:B33"/>
    <mergeCell ref="G15:H15"/>
    <mergeCell ref="A5:B5"/>
    <mergeCell ref="G5:H5"/>
    <mergeCell ref="A32:B32"/>
    <mergeCell ref="D8:D9"/>
    <mergeCell ref="A14:B14"/>
    <mergeCell ref="G14:H14"/>
    <mergeCell ref="C3:E3"/>
    <mergeCell ref="C6:E6"/>
    <mergeCell ref="A35:B35"/>
    <mergeCell ref="A4:B4"/>
    <mergeCell ref="G4:H4"/>
    <mergeCell ref="G55:H55"/>
    <mergeCell ref="G20:H20"/>
    <mergeCell ref="A38:B38"/>
    <mergeCell ref="C5:E5"/>
    <mergeCell ref="H8:H9"/>
    <mergeCell ref="G16:H16"/>
    <mergeCell ref="D51:D52"/>
    <mergeCell ref="A43:B43"/>
    <mergeCell ref="G54:H54"/>
    <mergeCell ref="G25:H25"/>
    <mergeCell ref="A10:B10"/>
    <mergeCell ref="C4:E4"/>
  </mergeCells>
  <conditionalFormatting sqref="F40">
    <cfRule type="colorScale" priority="1">
      <colorScale>
        <cfvo type="num" val="0"/>
        <cfvo type="num" val="10000"/>
        <color rgb="FFFF0000"/>
        <color theme="0"/>
      </colorScale>
    </cfRule>
  </conditionalFormatting>
  <pageMargins left="0.74791666666666667" right="0.2902777777777778" top="0.40972222222222221" bottom="0.67986111111111114" header="0.51180555555555551" footer="0.5"/>
  <pageSetup paperSize="9" scale="78" firstPageNumber="0" orientation="portrait" verticalDpi="300" r:id="rId1"/>
  <headerFooter alignWithMargins="0">
    <oddFooter>&amp;CSida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2"/>
  <sheetViews>
    <sheetView showGridLines="0" showZeros="0" topLeftCell="A11" workbookViewId="0">
      <selection activeCell="A17" sqref="A17:G17"/>
    </sheetView>
  </sheetViews>
  <sheetFormatPr defaultColWidth="9.140625" defaultRowHeight="12.75" x14ac:dyDescent="0.2"/>
  <cols>
    <col min="1" max="1" width="10.140625" customWidth="1"/>
    <col min="2" max="4" width="9.140625" customWidth="1"/>
    <col min="5" max="5" width="16.42578125" customWidth="1"/>
    <col min="6" max="6" width="10.140625" customWidth="1"/>
    <col min="7" max="7" width="7" customWidth="1"/>
    <col min="8" max="8" width="17.28515625" bestFit="1" customWidth="1"/>
  </cols>
  <sheetData>
    <row r="1" spans="1:23" ht="15.75" customHeight="1" x14ac:dyDescent="0.25">
      <c r="A1" s="54"/>
      <c r="B1" s="13"/>
      <c r="C1" s="55"/>
      <c r="E1" s="6"/>
      <c r="F1" s="56"/>
      <c r="G1" s="56"/>
      <c r="H1" s="5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 x14ac:dyDescent="0.25">
      <c r="A2" s="54"/>
      <c r="B2" s="13"/>
      <c r="C2" s="55"/>
      <c r="E2" s="6"/>
      <c r="F2" s="56"/>
      <c r="G2" s="56"/>
      <c r="H2" s="5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 customHeight="1" x14ac:dyDescent="0.25">
      <c r="A3" s="54"/>
      <c r="B3" s="13"/>
      <c r="C3" s="55"/>
      <c r="D3" s="55"/>
      <c r="E3" s="6" t="s">
        <v>86</v>
      </c>
      <c r="F3" s="56"/>
      <c r="G3" s="56"/>
      <c r="H3" s="5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s="13" customFormat="1" ht="11.25" customHeight="1" x14ac:dyDescent="0.2">
      <c r="A4" s="549" t="s">
        <v>2</v>
      </c>
      <c r="B4" s="465"/>
      <c r="C4" s="549" t="s">
        <v>3</v>
      </c>
      <c r="D4" s="464"/>
      <c r="E4" s="465"/>
      <c r="F4" s="547" t="s">
        <v>5</v>
      </c>
      <c r="G4" s="465"/>
      <c r="H4" s="76" t="s">
        <v>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x14ac:dyDescent="0.2">
      <c r="A5" s="543" t="str">
        <f>Produktionskostnadskalkyl!A4</f>
        <v>Erica Bernardin</v>
      </c>
      <c r="B5" s="469"/>
      <c r="C5" s="545">
        <f>Produktionskostnadskalkyl!C4</f>
        <v>0</v>
      </c>
      <c r="D5" s="546"/>
      <c r="E5" s="469"/>
      <c r="F5" s="548" t="str">
        <f>Produktionskostnadskalkyl!G4</f>
        <v>Havstenshult, Tomt nr. 11</v>
      </c>
      <c r="G5" s="469"/>
      <c r="H5" s="461">
        <f>Produktionskostnadskalkyl!F4</f>
        <v>46166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x14ac:dyDescent="0.2">
      <c r="A6" s="550"/>
      <c r="B6" s="478"/>
      <c r="C6" s="544">
        <f>Produktionskostnadskalkyl!C5</f>
        <v>0</v>
      </c>
      <c r="D6" s="477"/>
      <c r="E6" s="478"/>
      <c r="F6" s="544"/>
      <c r="G6" s="478"/>
      <c r="H6" s="454">
        <f>Produktionskostnadskalkyl!F5</f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s="13" customFormat="1" ht="10.5" customHeight="1" x14ac:dyDescent="0.2">
      <c r="A7" s="547" t="s">
        <v>6</v>
      </c>
      <c r="B7" s="465"/>
      <c r="C7" s="74" t="s">
        <v>7</v>
      </c>
      <c r="D7" s="83"/>
      <c r="E7" s="82"/>
      <c r="F7" s="71" t="s">
        <v>8</v>
      </c>
      <c r="G7" s="72"/>
      <c r="H7" s="84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2">
      <c r="A8" s="544" t="str">
        <f>Produktionskostnadskalkyl!A7</f>
        <v>Villa Smedby</v>
      </c>
      <c r="B8" s="478"/>
      <c r="C8" s="453">
        <f>Produktionskostnadskalkyl!C7</f>
        <v>0</v>
      </c>
      <c r="D8" s="80"/>
      <c r="E8" s="79"/>
      <c r="F8" s="455" t="str">
        <f>Produktionskostnadskalkyl!G7</f>
        <v>Mullsjö</v>
      </c>
      <c r="G8" s="81"/>
      <c r="H8" s="8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5" customHeight="1" x14ac:dyDescent="0.2">
      <c r="A9" s="87"/>
      <c r="B9" s="88" t="s">
        <v>87</v>
      </c>
      <c r="C9" s="89"/>
      <c r="D9" s="89"/>
      <c r="E9" s="89"/>
      <c r="F9" s="90"/>
      <c r="G9" s="91"/>
      <c r="H9" s="92" t="s">
        <v>88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s="95" customFormat="1" ht="15.75" customHeight="1" x14ac:dyDescent="0.25">
      <c r="A10" s="541"/>
      <c r="B10" s="542"/>
      <c r="C10" s="542"/>
      <c r="D10" s="542"/>
      <c r="E10" s="542"/>
      <c r="F10" s="542"/>
      <c r="G10" s="475"/>
      <c r="H10" s="93"/>
      <c r="I10" s="5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</row>
    <row r="11" spans="1:23" s="95" customFormat="1" ht="15.75" x14ac:dyDescent="0.25">
      <c r="A11" s="541" t="s">
        <v>330</v>
      </c>
      <c r="B11" s="541"/>
      <c r="C11" s="541"/>
      <c r="D11" s="541"/>
      <c r="E11" s="541"/>
      <c r="F11" s="541"/>
      <c r="G11" s="541"/>
      <c r="H11" s="93">
        <v>38200</v>
      </c>
      <c r="I11" s="5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</row>
    <row r="12" spans="1:23" s="95" customFormat="1" ht="15.75" x14ac:dyDescent="0.25">
      <c r="A12" s="541" t="s">
        <v>344</v>
      </c>
      <c r="B12" s="541"/>
      <c r="C12" s="541"/>
      <c r="D12" s="541"/>
      <c r="E12" s="541"/>
      <c r="F12" s="541"/>
      <c r="G12" s="541"/>
      <c r="H12" s="93"/>
      <c r="I12" s="5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</row>
    <row r="13" spans="1:23" s="95" customFormat="1" ht="15.75" x14ac:dyDescent="0.25">
      <c r="A13" s="541" t="s">
        <v>331</v>
      </c>
      <c r="B13" s="541"/>
      <c r="C13" s="541"/>
      <c r="D13" s="541"/>
      <c r="E13" s="541"/>
      <c r="F13" s="541"/>
      <c r="G13" s="541"/>
      <c r="H13" s="93">
        <v>125000</v>
      </c>
      <c r="I13" s="5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</row>
    <row r="14" spans="1:23" s="95" customFormat="1" ht="15.75" x14ac:dyDescent="0.25">
      <c r="A14" s="541"/>
      <c r="B14" s="541"/>
      <c r="C14" s="541"/>
      <c r="D14" s="541"/>
      <c r="E14" s="541"/>
      <c r="F14" s="541"/>
      <c r="G14" s="541"/>
      <c r="H14" s="93"/>
      <c r="I14" s="5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3" s="95" customFormat="1" ht="15.75" x14ac:dyDescent="0.25">
      <c r="A15" s="541" t="s">
        <v>332</v>
      </c>
      <c r="B15" s="541"/>
      <c r="C15" s="541"/>
      <c r="D15" s="541"/>
      <c r="E15" s="541"/>
      <c r="F15" s="541"/>
      <c r="G15" s="541"/>
      <c r="H15" s="93">
        <v>8338</v>
      </c>
      <c r="I15" s="5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</row>
    <row r="16" spans="1:23" s="95" customFormat="1" ht="15.75" x14ac:dyDescent="0.25">
      <c r="A16" s="541" t="s">
        <v>333</v>
      </c>
      <c r="B16" s="541"/>
      <c r="C16" s="541"/>
      <c r="D16" s="541"/>
      <c r="E16" s="541"/>
      <c r="F16" s="541"/>
      <c r="G16" s="541"/>
      <c r="H16" s="93">
        <v>2250</v>
      </c>
      <c r="I16" s="5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</row>
    <row r="17" spans="1:23" s="95" customFormat="1" ht="15.75" x14ac:dyDescent="0.25">
      <c r="A17" s="541" t="s">
        <v>346</v>
      </c>
      <c r="B17" s="541"/>
      <c r="C17" s="541"/>
      <c r="D17" s="541"/>
      <c r="E17" s="541"/>
      <c r="F17" s="541"/>
      <c r="G17" s="541"/>
      <c r="H17" s="93">
        <v>47200</v>
      </c>
      <c r="I17" s="5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</row>
    <row r="18" spans="1:23" s="95" customFormat="1" ht="15.75" x14ac:dyDescent="0.25">
      <c r="A18" s="541" t="s">
        <v>345</v>
      </c>
      <c r="B18" s="541"/>
      <c r="C18" s="541"/>
      <c r="D18" s="541"/>
      <c r="E18" s="541"/>
      <c r="F18" s="541"/>
      <c r="G18" s="541"/>
      <c r="H18" s="93">
        <v>29000</v>
      </c>
      <c r="I18" s="5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</row>
    <row r="19" spans="1:23" s="95" customFormat="1" ht="15.75" x14ac:dyDescent="0.25">
      <c r="A19" s="541"/>
      <c r="B19" s="541"/>
      <c r="C19" s="541"/>
      <c r="D19" s="541"/>
      <c r="E19" s="541"/>
      <c r="F19" s="541"/>
      <c r="G19" s="541"/>
      <c r="H19" s="93"/>
      <c r="I19" s="5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</row>
    <row r="20" spans="1:23" s="95" customFormat="1" ht="15.75" x14ac:dyDescent="0.25">
      <c r="A20" s="541" t="s">
        <v>334</v>
      </c>
      <c r="B20" s="541"/>
      <c r="C20" s="541"/>
      <c r="D20" s="541"/>
      <c r="E20" s="541"/>
      <c r="F20" s="541"/>
      <c r="G20" s="541"/>
      <c r="H20" s="93">
        <v>15100</v>
      </c>
      <c r="I20" s="5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</row>
    <row r="21" spans="1:23" s="95" customFormat="1" ht="15.75" x14ac:dyDescent="0.25">
      <c r="A21" s="541" t="s">
        <v>335</v>
      </c>
      <c r="B21" s="541"/>
      <c r="C21" s="541"/>
      <c r="D21" s="541"/>
      <c r="E21" s="541"/>
      <c r="F21" s="541"/>
      <c r="G21" s="541"/>
      <c r="H21" s="93">
        <v>11800</v>
      </c>
      <c r="I21" s="5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</row>
    <row r="22" spans="1:23" s="95" customFormat="1" ht="15.75" x14ac:dyDescent="0.25">
      <c r="A22" s="541" t="s">
        <v>336</v>
      </c>
      <c r="B22" s="541"/>
      <c r="C22" s="541"/>
      <c r="D22" s="541"/>
      <c r="E22" s="541"/>
      <c r="F22" s="541"/>
      <c r="G22" s="541"/>
      <c r="H22" s="93">
        <v>18400</v>
      </c>
      <c r="I22" s="5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</row>
    <row r="23" spans="1:23" s="95" customFormat="1" ht="15.75" x14ac:dyDescent="0.25">
      <c r="A23" s="541" t="s">
        <v>343</v>
      </c>
      <c r="B23" s="541"/>
      <c r="C23" s="541"/>
      <c r="D23" s="541"/>
      <c r="E23" s="541"/>
      <c r="F23" s="541"/>
      <c r="G23" s="541"/>
      <c r="H23" s="93"/>
      <c r="I23" s="5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</row>
    <row r="24" spans="1:23" s="95" customFormat="1" ht="15.75" x14ac:dyDescent="0.25">
      <c r="A24" s="541"/>
      <c r="B24" s="541"/>
      <c r="C24" s="541"/>
      <c r="D24" s="541"/>
      <c r="E24" s="541"/>
      <c r="F24" s="541"/>
      <c r="G24" s="541"/>
      <c r="H24" s="93"/>
      <c r="I24" s="5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</row>
    <row r="25" spans="1:23" s="95" customFormat="1" ht="15.75" x14ac:dyDescent="0.25">
      <c r="A25" s="541"/>
      <c r="B25" s="541"/>
      <c r="C25" s="541"/>
      <c r="D25" s="541"/>
      <c r="E25" s="541"/>
      <c r="F25" s="541"/>
      <c r="G25" s="541"/>
      <c r="H25" s="93"/>
      <c r="I25" s="5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</row>
    <row r="26" spans="1:23" s="95" customFormat="1" ht="15.75" x14ac:dyDescent="0.25">
      <c r="A26" s="541" t="s">
        <v>341</v>
      </c>
      <c r="B26" s="541"/>
      <c r="C26" s="541"/>
      <c r="D26" s="541"/>
      <c r="E26" s="541"/>
      <c r="F26" s="541"/>
      <c r="G26" s="541"/>
      <c r="H26" s="93">
        <v>11000</v>
      </c>
      <c r="I26" s="5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</row>
    <row r="27" spans="1:23" s="95" customFormat="1" ht="15.75" x14ac:dyDescent="0.25">
      <c r="A27" s="541" t="s">
        <v>342</v>
      </c>
      <c r="B27" s="541"/>
      <c r="C27" s="541"/>
      <c r="D27" s="541"/>
      <c r="E27" s="541"/>
      <c r="F27" s="541"/>
      <c r="G27" s="541"/>
      <c r="H27" s="93">
        <v>9000</v>
      </c>
      <c r="I27" s="5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</row>
    <row r="28" spans="1:23" s="95" customFormat="1" ht="15.75" x14ac:dyDescent="0.25">
      <c r="A28" s="541"/>
      <c r="B28" s="541"/>
      <c r="C28" s="541"/>
      <c r="D28" s="541"/>
      <c r="E28" s="541"/>
      <c r="F28" s="541"/>
      <c r="G28" s="541"/>
      <c r="H28" s="93"/>
      <c r="I28" s="5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</row>
    <row r="29" spans="1:23" s="95" customFormat="1" ht="15.75" customHeight="1" x14ac:dyDescent="0.25">
      <c r="A29" s="541"/>
      <c r="B29" s="542"/>
      <c r="C29" s="542"/>
      <c r="D29" s="542"/>
      <c r="E29" s="542"/>
      <c r="F29" s="542"/>
      <c r="G29" s="475"/>
      <c r="H29" s="93"/>
      <c r="I29" s="5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</row>
    <row r="30" spans="1:23" s="95" customFormat="1" ht="15.75" customHeight="1" x14ac:dyDescent="0.25">
      <c r="A30" s="541"/>
      <c r="B30" s="542"/>
      <c r="C30" s="542"/>
      <c r="D30" s="542"/>
      <c r="E30" s="542"/>
      <c r="F30" s="542"/>
      <c r="G30" s="475"/>
      <c r="H30" s="93"/>
      <c r="I30" s="5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</row>
    <row r="31" spans="1:23" s="95" customFormat="1" ht="15.75" customHeight="1" x14ac:dyDescent="0.25">
      <c r="A31" s="541"/>
      <c r="B31" s="542"/>
      <c r="C31" s="542"/>
      <c r="D31" s="542"/>
      <c r="E31" s="542"/>
      <c r="F31" s="542"/>
      <c r="G31" s="475"/>
      <c r="H31" s="93"/>
      <c r="I31" s="5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</row>
    <row r="32" spans="1:23" s="95" customFormat="1" ht="15.75" customHeight="1" x14ac:dyDescent="0.25">
      <c r="A32" s="541"/>
      <c r="B32" s="542"/>
      <c r="C32" s="542"/>
      <c r="D32" s="542"/>
      <c r="E32" s="542"/>
      <c r="F32" s="542"/>
      <c r="G32" s="475"/>
      <c r="H32" s="93"/>
      <c r="I32" s="5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</row>
    <row r="33" spans="1:23" s="95" customFormat="1" ht="15.75" customHeight="1" x14ac:dyDescent="0.25">
      <c r="A33" s="541"/>
      <c r="B33" s="542"/>
      <c r="C33" s="542"/>
      <c r="D33" s="542"/>
      <c r="E33" s="542"/>
      <c r="F33" s="542"/>
      <c r="G33" s="475"/>
      <c r="H33" s="93"/>
      <c r="I33" s="5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</row>
    <row r="34" spans="1:23" s="95" customFormat="1" ht="15.75" customHeight="1" x14ac:dyDescent="0.25">
      <c r="A34" s="541"/>
      <c r="B34" s="542"/>
      <c r="C34" s="542"/>
      <c r="D34" s="542"/>
      <c r="E34" s="542"/>
      <c r="F34" s="542"/>
      <c r="G34" s="475"/>
      <c r="H34" s="93"/>
      <c r="I34" s="5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</row>
    <row r="35" spans="1:23" s="95" customFormat="1" ht="15.75" customHeight="1" x14ac:dyDescent="0.25">
      <c r="A35" s="541"/>
      <c r="B35" s="542"/>
      <c r="C35" s="542"/>
      <c r="D35" s="542"/>
      <c r="E35" s="542"/>
      <c r="F35" s="542"/>
      <c r="G35" s="475"/>
      <c r="H35" s="93"/>
      <c r="I35" s="5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</row>
    <row r="36" spans="1:23" s="95" customFormat="1" ht="15.75" customHeight="1" x14ac:dyDescent="0.25">
      <c r="A36" s="541"/>
      <c r="B36" s="542"/>
      <c r="C36" s="542"/>
      <c r="D36" s="542"/>
      <c r="E36" s="542"/>
      <c r="F36" s="542"/>
      <c r="G36" s="475"/>
      <c r="H36" s="93"/>
      <c r="I36" s="5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</row>
    <row r="37" spans="1:23" s="95" customFormat="1" ht="15.75" customHeight="1" x14ac:dyDescent="0.25">
      <c r="A37" s="541"/>
      <c r="B37" s="542"/>
      <c r="C37" s="542"/>
      <c r="D37" s="542"/>
      <c r="E37" s="542"/>
      <c r="F37" s="542"/>
      <c r="G37" s="475"/>
      <c r="H37" s="93"/>
      <c r="I37" s="5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</row>
    <row r="38" spans="1:23" s="95" customFormat="1" ht="15.75" customHeight="1" x14ac:dyDescent="0.25">
      <c r="A38" s="541"/>
      <c r="B38" s="542"/>
      <c r="C38" s="542"/>
      <c r="D38" s="542"/>
      <c r="E38" s="542"/>
      <c r="F38" s="542"/>
      <c r="G38" s="475"/>
      <c r="H38" s="93"/>
      <c r="I38" s="5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</row>
    <row r="39" spans="1:23" s="95" customFormat="1" ht="15.75" customHeight="1" x14ac:dyDescent="0.25">
      <c r="A39" s="541"/>
      <c r="B39" s="542"/>
      <c r="C39" s="542"/>
      <c r="D39" s="542"/>
      <c r="E39" s="542"/>
      <c r="F39" s="542"/>
      <c r="G39" s="475"/>
      <c r="H39" s="93"/>
      <c r="I39" s="5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1:23" s="95" customFormat="1" ht="15.75" customHeight="1" x14ac:dyDescent="0.25">
      <c r="A40" s="541"/>
      <c r="B40" s="542"/>
      <c r="C40" s="542"/>
      <c r="D40" s="542"/>
      <c r="E40" s="542"/>
      <c r="F40" s="542"/>
      <c r="G40" s="475"/>
      <c r="H40" s="93"/>
      <c r="I40" s="5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</row>
    <row r="41" spans="1:23" s="95" customFormat="1" ht="15.75" customHeight="1" x14ac:dyDescent="0.25">
      <c r="A41" s="541"/>
      <c r="B41" s="542"/>
      <c r="C41" s="542"/>
      <c r="D41" s="542"/>
      <c r="E41" s="542"/>
      <c r="F41" s="542"/>
      <c r="G41" s="475"/>
      <c r="H41" s="93"/>
      <c r="I41" s="5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</row>
    <row r="42" spans="1:23" s="95" customFormat="1" ht="15.75" customHeight="1" x14ac:dyDescent="0.25">
      <c r="A42" s="541"/>
      <c r="B42" s="542"/>
      <c r="C42" s="542"/>
      <c r="D42" s="542"/>
      <c r="E42" s="542"/>
      <c r="F42" s="542"/>
      <c r="G42" s="475"/>
      <c r="H42" s="93"/>
      <c r="I42" s="5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</row>
    <row r="43" spans="1:23" s="95" customFormat="1" ht="15.75" customHeight="1" x14ac:dyDescent="0.25">
      <c r="A43" s="541"/>
      <c r="B43" s="542"/>
      <c r="C43" s="542"/>
      <c r="D43" s="542"/>
      <c r="E43" s="542"/>
      <c r="F43" s="542"/>
      <c r="G43" s="475"/>
      <c r="H43" s="93"/>
      <c r="I43" s="5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</row>
    <row r="44" spans="1:23" s="95" customFormat="1" ht="15.75" customHeight="1" x14ac:dyDescent="0.25">
      <c r="A44" s="541"/>
      <c r="B44" s="542"/>
      <c r="C44" s="542"/>
      <c r="D44" s="542"/>
      <c r="E44" s="542"/>
      <c r="F44" s="542"/>
      <c r="G44" s="475"/>
      <c r="H44" s="93"/>
      <c r="I44" s="5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</row>
    <row r="45" spans="1:23" s="95" customFormat="1" ht="15.75" customHeight="1" x14ac:dyDescent="0.25">
      <c r="A45" s="541"/>
      <c r="B45" s="542"/>
      <c r="C45" s="542"/>
      <c r="D45" s="542"/>
      <c r="E45" s="542"/>
      <c r="F45" s="542"/>
      <c r="G45" s="475"/>
      <c r="H45" s="93"/>
      <c r="I45" s="5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</row>
    <row r="46" spans="1:23" s="95" customFormat="1" ht="15.75" customHeight="1" x14ac:dyDescent="0.25">
      <c r="A46" s="96" t="s">
        <v>89</v>
      </c>
      <c r="B46" s="97"/>
      <c r="C46" s="98"/>
      <c r="D46" s="98"/>
      <c r="E46" s="99"/>
      <c r="F46" s="80"/>
      <c r="G46" s="80"/>
      <c r="H46" s="100">
        <f>SUM(H10:H45)</f>
        <v>315288</v>
      </c>
      <c r="I46" s="5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</row>
    <row r="47" spans="1:23" x14ac:dyDescent="0.2">
      <c r="A47" s="101">
        <f>Produktionskostnadskalkyl!A66</f>
        <v>0</v>
      </c>
      <c r="C47" s="2"/>
      <c r="D47" s="2"/>
      <c r="E47" s="2"/>
      <c r="F47" s="56"/>
      <c r="G47" s="56"/>
      <c r="H47" s="5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2">
      <c r="A48" s="102"/>
      <c r="C48" s="2"/>
      <c r="D48" s="2"/>
      <c r="E48" s="2"/>
      <c r="F48" s="103"/>
      <c r="G48" s="103"/>
      <c r="H48" s="5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2.75" customHeight="1" x14ac:dyDescent="0.2">
      <c r="A49" s="102"/>
      <c r="C49" s="2"/>
      <c r="D49" s="2"/>
      <c r="E49" s="2"/>
      <c r="F49" s="56"/>
      <c r="G49" s="56"/>
      <c r="H49" s="5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2.75" customHeight="1" x14ac:dyDescent="0.2">
      <c r="A50" s="102"/>
      <c r="C50" s="2"/>
      <c r="D50" s="2"/>
      <c r="E50" s="2"/>
      <c r="F50" s="56"/>
      <c r="G50" s="56"/>
      <c r="H50" s="5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2.75" customHeight="1" x14ac:dyDescent="0.2">
      <c r="A51" s="102"/>
      <c r="C51" s="2"/>
      <c r="D51" s="2"/>
      <c r="E51" s="2"/>
      <c r="F51" s="56"/>
      <c r="G51" s="56"/>
      <c r="H51" s="5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2.75" customHeight="1" x14ac:dyDescent="0.2">
      <c r="A52" s="102"/>
      <c r="C52" s="2"/>
      <c r="D52" s="2"/>
      <c r="E52" s="2"/>
      <c r="F52" s="56"/>
      <c r="G52" s="56"/>
      <c r="H52" s="56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</sheetData>
  <mergeCells count="47">
    <mergeCell ref="F4:G4"/>
    <mergeCell ref="A14:G14"/>
    <mergeCell ref="A17:G17"/>
    <mergeCell ref="A22:G22"/>
    <mergeCell ref="F5:G5"/>
    <mergeCell ref="A4:B4"/>
    <mergeCell ref="C4:E4"/>
    <mergeCell ref="A6:B6"/>
    <mergeCell ref="A10:G10"/>
    <mergeCell ref="A13:G13"/>
    <mergeCell ref="A35:G35"/>
    <mergeCell ref="A20:G20"/>
    <mergeCell ref="F6:G6"/>
    <mergeCell ref="A29:G29"/>
    <mergeCell ref="A32:G32"/>
    <mergeCell ref="A44:G44"/>
    <mergeCell ref="A40:G40"/>
    <mergeCell ref="A7:B7"/>
    <mergeCell ref="A31:G31"/>
    <mergeCell ref="A39:G39"/>
    <mergeCell ref="A34:G34"/>
    <mergeCell ref="A24:G24"/>
    <mergeCell ref="A30:G30"/>
    <mergeCell ref="A15:G15"/>
    <mergeCell ref="A11:G11"/>
    <mergeCell ref="A42:G42"/>
    <mergeCell ref="A23:G23"/>
    <mergeCell ref="A43:G43"/>
    <mergeCell ref="A19:G19"/>
    <mergeCell ref="A38:G38"/>
    <mergeCell ref="A28:G28"/>
    <mergeCell ref="A45:G45"/>
    <mergeCell ref="A36:G36"/>
    <mergeCell ref="A5:B5"/>
    <mergeCell ref="A16:G16"/>
    <mergeCell ref="A25:G25"/>
    <mergeCell ref="A41:G41"/>
    <mergeCell ref="A8:B8"/>
    <mergeCell ref="C6:E6"/>
    <mergeCell ref="A37:G37"/>
    <mergeCell ref="C5:E5"/>
    <mergeCell ref="A18:G18"/>
    <mergeCell ref="A27:G27"/>
    <mergeCell ref="A21:G21"/>
    <mergeCell ref="A12:G12"/>
    <mergeCell ref="A26:G26"/>
    <mergeCell ref="A33:G33"/>
  </mergeCells>
  <pageMargins left="0.74791666666666667" right="0.74791666666666667" top="0.98402777777777772" bottom="0.85972222222222228" header="0.51180555555555551" footer="0.51180555555555551"/>
  <pageSetup paperSize="9" scale="93" firstPageNumber="0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G40" sqref="G40"/>
    </sheetView>
  </sheetViews>
  <sheetFormatPr defaultRowHeight="12.75" x14ac:dyDescent="0.2"/>
  <cols>
    <col min="3" max="3" width="10.7109375" customWidth="1"/>
    <col min="4" max="4" width="11.85546875" bestFit="1" customWidth="1"/>
  </cols>
  <sheetData>
    <row r="1" spans="1:7" x14ac:dyDescent="0.2">
      <c r="A1" t="s">
        <v>90</v>
      </c>
    </row>
    <row r="5" spans="1:7" x14ac:dyDescent="0.2">
      <c r="B5" t="s">
        <v>91</v>
      </c>
      <c r="D5" s="269">
        <f>Bokalkyl!H26</f>
        <v>3464688</v>
      </c>
    </row>
    <row r="6" spans="1:7" x14ac:dyDescent="0.2">
      <c r="B6" t="s">
        <v>92</v>
      </c>
      <c r="D6" s="269">
        <f>Bokalkyl!H23</f>
        <v>3464688</v>
      </c>
    </row>
    <row r="7" spans="1:7" x14ac:dyDescent="0.2">
      <c r="B7" t="s">
        <v>93</v>
      </c>
      <c r="D7" s="269">
        <f>Bokalkyl!H24</f>
        <v>360000</v>
      </c>
    </row>
    <row r="8" spans="1:7" x14ac:dyDescent="0.2">
      <c r="B8" t="s">
        <v>94</v>
      </c>
      <c r="D8" s="268"/>
    </row>
    <row r="9" spans="1:7" x14ac:dyDescent="0.2">
      <c r="B9" t="s">
        <v>95</v>
      </c>
      <c r="D9" s="269">
        <f>D6-D7</f>
        <v>3104688</v>
      </c>
    </row>
    <row r="10" spans="1:7" x14ac:dyDescent="0.2">
      <c r="B10" t="s">
        <v>96</v>
      </c>
      <c r="D10" s="270">
        <f>D9/D5</f>
        <v>0.89609454011443457</v>
      </c>
    </row>
    <row r="11" spans="1:7" x14ac:dyDescent="0.2">
      <c r="B11" t="s">
        <v>97</v>
      </c>
      <c r="D11" s="268">
        <f>IF(D9&gt;0.9*D5,0.9*D5,D9)</f>
        <v>3104688</v>
      </c>
      <c r="G11">
        <f>IF(D10&gt;70%,2%,1%)</f>
        <v>0.02</v>
      </c>
    </row>
    <row r="12" spans="1:7" x14ac:dyDescent="0.2">
      <c r="B12" t="s">
        <v>98</v>
      </c>
      <c r="D12" s="268">
        <f>D11/D5</f>
        <v>0.89609454011443457</v>
      </c>
    </row>
    <row r="13" spans="1:7" x14ac:dyDescent="0.2">
      <c r="B13" t="s">
        <v>99</v>
      </c>
      <c r="D13" s="269">
        <f>D6-D7-D11</f>
        <v>0</v>
      </c>
    </row>
    <row r="14" spans="1:7" x14ac:dyDescent="0.2">
      <c r="B14" t="s">
        <v>100</v>
      </c>
      <c r="D14" s="270">
        <f>IF(D10&lt;50%,0,F14)</f>
        <v>0.02</v>
      </c>
      <c r="F14">
        <f>IF(D10&gt;70%,2%,1%)</f>
        <v>0.02</v>
      </c>
    </row>
    <row r="17" spans="2:4" x14ac:dyDescent="0.2">
      <c r="B17" t="s">
        <v>101</v>
      </c>
      <c r="D17" s="268">
        <f>IF(D5*0.5&lt;D11,D5*0.5,D11)</f>
        <v>1732344</v>
      </c>
    </row>
    <row r="18" spans="2:4" x14ac:dyDescent="0.2">
      <c r="B18" t="s">
        <v>102</v>
      </c>
      <c r="D18" s="268">
        <f>D11-D17</f>
        <v>1372344</v>
      </c>
    </row>
    <row r="19" spans="2:4" x14ac:dyDescent="0.2">
      <c r="B19" t="s">
        <v>99</v>
      </c>
      <c r="D19" s="269">
        <f>D13</f>
        <v>0</v>
      </c>
    </row>
    <row r="20" spans="2:4" x14ac:dyDescent="0.2">
      <c r="B20" t="s">
        <v>103</v>
      </c>
      <c r="D20" s="268">
        <f>SUM(D17:D19)</f>
        <v>3104688</v>
      </c>
    </row>
  </sheetData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07"/>
  <sheetViews>
    <sheetView showGridLines="0" showZeros="0" topLeftCell="A9" workbookViewId="0">
      <selection activeCell="H25" sqref="H25"/>
    </sheetView>
  </sheetViews>
  <sheetFormatPr defaultColWidth="9.140625" defaultRowHeight="12.75" x14ac:dyDescent="0.2"/>
  <cols>
    <col min="1" max="1" width="10.28515625" customWidth="1"/>
    <col min="2" max="2" width="10.85546875" customWidth="1"/>
    <col min="3" max="3" width="10" customWidth="1"/>
    <col min="4" max="4" width="11" customWidth="1"/>
    <col min="5" max="5" width="11.7109375" customWidth="1"/>
    <col min="6" max="6" width="10.85546875" customWidth="1"/>
    <col min="7" max="7" width="11.7109375" customWidth="1"/>
    <col min="8" max="8" width="11.85546875" customWidth="1"/>
    <col min="9" max="9" width="8.85546875" hidden="1" customWidth="1"/>
    <col min="10" max="16" width="9.140625" hidden="1" customWidth="1"/>
    <col min="17" max="17" width="11.42578125" hidden="1" customWidth="1"/>
    <col min="18" max="18" width="11.140625" hidden="1" customWidth="1"/>
    <col min="19" max="20" width="9.140625" hidden="1" customWidth="1"/>
    <col min="21" max="21" width="12.7109375" hidden="1" customWidth="1"/>
    <col min="22" max="26" width="9.140625" hidden="1" customWidth="1"/>
    <col min="27" max="27" width="17" hidden="1" customWidth="1"/>
    <col min="28" max="28" width="13.140625" customWidth="1"/>
    <col min="29" max="29" width="9.140625" customWidth="1"/>
    <col min="30" max="30" width="12" customWidth="1"/>
    <col min="31" max="31" width="12.42578125" customWidth="1"/>
    <col min="32" max="32" width="12.5703125" customWidth="1"/>
    <col min="33" max="33" width="12.28515625" customWidth="1"/>
    <col min="34" max="37" width="9.140625" customWidth="1"/>
  </cols>
  <sheetData>
    <row r="1" spans="1:32" x14ac:dyDescent="0.2">
      <c r="A1" s="107"/>
      <c r="B1" s="13"/>
      <c r="C1" s="55"/>
      <c r="D1" s="55"/>
      <c r="E1" s="55"/>
      <c r="F1" s="56"/>
      <c r="G1" s="56"/>
      <c r="H1" s="56"/>
      <c r="I1" s="56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9"/>
    </row>
    <row r="2" spans="1:32" ht="10.5" customHeight="1" x14ac:dyDescent="0.25">
      <c r="A2" s="56"/>
      <c r="B2" s="56"/>
      <c r="C2" s="56"/>
      <c r="D2" s="56"/>
      <c r="E2" s="110" t="s">
        <v>20</v>
      </c>
      <c r="F2" s="56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11" t="s">
        <v>104</v>
      </c>
      <c r="V2" s="108"/>
      <c r="W2" s="108"/>
      <c r="X2" s="108"/>
      <c r="Y2" s="108"/>
      <c r="Z2" s="108"/>
      <c r="AA2" s="56"/>
      <c r="AB2" s="56"/>
      <c r="AC2" s="56"/>
      <c r="AD2" s="56"/>
      <c r="AE2" s="56"/>
      <c r="AF2" s="56"/>
    </row>
    <row r="3" spans="1:32" ht="15.7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296" t="s">
        <v>105</v>
      </c>
      <c r="K3" s="297"/>
      <c r="L3" s="297"/>
      <c r="M3" s="297"/>
      <c r="N3" s="297"/>
      <c r="O3" s="297"/>
      <c r="P3" s="297"/>
      <c r="Q3" s="297"/>
      <c r="R3" s="297"/>
      <c r="S3" s="297"/>
      <c r="T3" s="108"/>
      <c r="U3" s="108"/>
      <c r="V3" s="108"/>
      <c r="W3" s="108"/>
      <c r="X3" s="108"/>
      <c r="Y3" s="108"/>
      <c r="Z3" s="108"/>
      <c r="AA3" s="56"/>
      <c r="AB3" s="56"/>
      <c r="AC3" s="56"/>
      <c r="AD3" s="56"/>
      <c r="AE3" s="56"/>
      <c r="AF3" s="56"/>
    </row>
    <row r="4" spans="1:32" x14ac:dyDescent="0.2">
      <c r="A4" s="112" t="s">
        <v>106</v>
      </c>
      <c r="B4" s="56"/>
      <c r="C4" s="56"/>
      <c r="D4" s="56"/>
      <c r="E4" s="56"/>
      <c r="F4" s="56"/>
      <c r="G4" s="56"/>
      <c r="H4" s="56"/>
      <c r="I4" s="56"/>
      <c r="J4" s="108"/>
      <c r="K4" s="108"/>
      <c r="L4" s="108"/>
      <c r="M4" s="108"/>
      <c r="N4" s="108"/>
      <c r="O4" s="111"/>
      <c r="P4" s="108"/>
      <c r="Q4" s="108"/>
      <c r="R4" s="108"/>
      <c r="S4" s="108"/>
      <c r="T4" s="108"/>
      <c r="U4" s="108"/>
      <c r="V4" s="109"/>
      <c r="W4" s="108"/>
      <c r="X4" s="108"/>
      <c r="Y4" s="108"/>
      <c r="Z4" s="108"/>
      <c r="AA4" s="56"/>
      <c r="AB4" s="56"/>
      <c r="AC4" s="56"/>
      <c r="AD4" s="56"/>
      <c r="AE4" s="56"/>
      <c r="AF4" s="56"/>
    </row>
    <row r="5" spans="1:32" x14ac:dyDescent="0.2">
      <c r="A5" s="112" t="s">
        <v>107</v>
      </c>
      <c r="B5" s="112"/>
      <c r="C5" s="112" t="s">
        <v>108</v>
      </c>
      <c r="D5" s="112"/>
      <c r="E5" s="112" t="s">
        <v>109</v>
      </c>
      <c r="F5" s="56"/>
      <c r="G5" s="56"/>
      <c r="H5" s="56"/>
      <c r="I5" s="56"/>
      <c r="J5" s="108"/>
      <c r="K5" s="108"/>
      <c r="L5" s="108"/>
      <c r="M5" s="108"/>
      <c r="N5" s="108"/>
      <c r="O5" s="111"/>
      <c r="P5" s="111"/>
      <c r="Q5" s="111"/>
      <c r="R5" s="109"/>
      <c r="S5" s="109"/>
      <c r="T5" s="108"/>
      <c r="U5" s="108"/>
      <c r="V5" s="109"/>
      <c r="W5" s="108"/>
      <c r="X5" s="108"/>
      <c r="Y5" s="108"/>
      <c r="Z5" s="108"/>
      <c r="AA5" s="56"/>
      <c r="AB5" s="56"/>
      <c r="AC5" s="56"/>
      <c r="AD5" s="56"/>
      <c r="AE5" s="56"/>
      <c r="AF5" s="56"/>
    </row>
    <row r="6" spans="1:32" x14ac:dyDescent="0.2">
      <c r="A6" s="112" t="s">
        <v>110</v>
      </c>
      <c r="B6" s="56"/>
      <c r="C6" s="56"/>
      <c r="D6" s="56"/>
      <c r="E6" s="102"/>
      <c r="G6" s="397" t="s">
        <v>111</v>
      </c>
      <c r="H6" s="458">
        <f>Produktionskostnadskalkyl!F4</f>
        <v>46166</v>
      </c>
      <c r="I6" s="113"/>
      <c r="J6" s="109"/>
      <c r="K6" s="109"/>
      <c r="L6" s="109"/>
      <c r="M6" s="108"/>
      <c r="N6" s="108"/>
      <c r="O6" s="109"/>
      <c r="P6" s="109"/>
      <c r="Q6" s="109"/>
      <c r="R6" s="109"/>
      <c r="S6" s="109"/>
      <c r="T6" s="108"/>
      <c r="U6" s="108"/>
      <c r="V6" s="108"/>
      <c r="W6" s="108"/>
      <c r="X6" s="108"/>
      <c r="Y6" s="108"/>
      <c r="Z6" s="108"/>
      <c r="AA6" s="56"/>
      <c r="AB6" s="56"/>
      <c r="AC6" s="56"/>
      <c r="AD6" s="56"/>
      <c r="AE6" s="56"/>
      <c r="AF6" s="56"/>
    </row>
    <row r="7" spans="1:32" x14ac:dyDescent="0.2">
      <c r="A7" s="102" t="s">
        <v>112</v>
      </c>
      <c r="B7" s="102" t="s">
        <v>113</v>
      </c>
      <c r="C7" s="56"/>
      <c r="D7" s="56"/>
      <c r="E7" s="56"/>
      <c r="F7" s="56"/>
      <c r="G7" s="56"/>
      <c r="H7" s="56"/>
      <c r="I7" s="56"/>
      <c r="J7" s="109"/>
      <c r="K7" s="108"/>
      <c r="L7" s="108"/>
      <c r="M7" s="108"/>
      <c r="N7" s="108"/>
      <c r="O7" s="109"/>
      <c r="P7" s="109"/>
      <c r="Q7" s="109"/>
      <c r="R7" s="109"/>
      <c r="S7" s="109"/>
      <c r="T7" s="108"/>
      <c r="U7" s="108"/>
      <c r="V7" s="108"/>
      <c r="W7" s="108"/>
      <c r="X7" s="108"/>
      <c r="Y7" s="108"/>
      <c r="Z7" s="108"/>
      <c r="AA7" s="56"/>
      <c r="AB7" s="56"/>
      <c r="AC7" s="56"/>
      <c r="AD7" s="56"/>
      <c r="AE7" s="56"/>
      <c r="AF7" s="56"/>
    </row>
    <row r="8" spans="1:32" ht="15.75" customHeight="1" x14ac:dyDescent="0.25">
      <c r="A8" s="112" t="s">
        <v>114</v>
      </c>
      <c r="B8" s="56"/>
      <c r="C8" s="56"/>
      <c r="D8" s="56"/>
      <c r="E8" s="56"/>
      <c r="F8" s="56"/>
      <c r="G8" s="56"/>
      <c r="H8" s="426">
        <v>2026</v>
      </c>
      <c r="I8" s="56"/>
      <c r="J8" s="109"/>
      <c r="K8" s="108"/>
      <c r="L8" s="108"/>
      <c r="M8" s="108"/>
      <c r="N8" s="108"/>
      <c r="O8" s="109"/>
      <c r="P8" s="109"/>
      <c r="Q8" s="109"/>
      <c r="R8" s="109"/>
      <c r="S8" s="109"/>
      <c r="T8" s="108"/>
      <c r="U8" s="109"/>
      <c r="V8" s="109"/>
      <c r="W8" s="109"/>
      <c r="X8" s="109"/>
      <c r="Y8" s="109"/>
      <c r="Z8" s="108"/>
      <c r="AA8" s="56"/>
      <c r="AB8" s="56"/>
      <c r="AC8" s="56"/>
      <c r="AD8" s="56"/>
      <c r="AE8" s="56"/>
      <c r="AF8" s="56"/>
    </row>
    <row r="9" spans="1:32" x14ac:dyDescent="0.2">
      <c r="A9" s="102"/>
      <c r="B9" s="56"/>
      <c r="C9" s="56"/>
      <c r="D9" s="56"/>
      <c r="E9" s="56"/>
      <c r="F9" s="56"/>
      <c r="G9" s="56"/>
      <c r="H9" s="56"/>
      <c r="I9" s="56"/>
      <c r="J9" s="109"/>
      <c r="K9" s="108"/>
      <c r="L9" s="108"/>
      <c r="M9" s="109"/>
      <c r="N9" s="109"/>
      <c r="O9" s="109"/>
      <c r="P9" s="109"/>
      <c r="Q9" s="109"/>
      <c r="R9" s="109"/>
      <c r="S9" s="109"/>
      <c r="T9" s="108"/>
      <c r="U9" s="109"/>
      <c r="V9" s="109"/>
      <c r="W9" s="109"/>
      <c r="X9" s="109"/>
      <c r="Y9" s="109"/>
      <c r="Z9" s="109"/>
      <c r="AA9" s="56"/>
      <c r="AB9" s="56"/>
      <c r="AC9" s="56"/>
      <c r="AD9" s="56"/>
      <c r="AE9" s="56"/>
      <c r="AF9" s="56"/>
    </row>
    <row r="10" spans="1:32" s="13" customFormat="1" ht="9.75" customHeight="1" x14ac:dyDescent="0.2">
      <c r="A10" s="74" t="s">
        <v>115</v>
      </c>
      <c r="B10" s="114"/>
      <c r="C10" s="72"/>
      <c r="D10" s="115" t="s">
        <v>116</v>
      </c>
      <c r="E10" s="84" t="s">
        <v>117</v>
      </c>
      <c r="F10" s="84" t="s">
        <v>118</v>
      </c>
      <c r="G10" s="71" t="s">
        <v>119</v>
      </c>
      <c r="H10" s="72"/>
      <c r="J10" s="116"/>
      <c r="K10" s="117"/>
      <c r="L10" s="117"/>
      <c r="M10" s="116"/>
      <c r="N10" s="116"/>
      <c r="O10" s="116"/>
      <c r="P10" s="116"/>
      <c r="Q10" s="116"/>
      <c r="R10" s="116"/>
      <c r="S10" s="116"/>
      <c r="T10" s="117"/>
      <c r="U10" s="116"/>
      <c r="V10" s="116"/>
      <c r="W10" s="116"/>
      <c r="X10" s="116"/>
      <c r="Y10" s="116"/>
      <c r="Z10" s="116"/>
      <c r="AA10" s="118"/>
      <c r="AB10" s="118"/>
      <c r="AC10" s="118"/>
      <c r="AD10" s="118"/>
      <c r="AE10" s="118"/>
      <c r="AF10" s="118"/>
    </row>
    <row r="11" spans="1:32" ht="20.25" customHeight="1" x14ac:dyDescent="0.3">
      <c r="A11" s="452">
        <f>Produktionskostnadskalkyl!C4</f>
        <v>0</v>
      </c>
      <c r="B11" s="119"/>
      <c r="C11" s="81"/>
      <c r="D11" s="106">
        <v>800000</v>
      </c>
      <c r="E11" s="106"/>
      <c r="F11" s="120"/>
      <c r="G11" s="453" t="s">
        <v>338</v>
      </c>
      <c r="H11" s="81"/>
      <c r="J11" s="109"/>
      <c r="K11" s="121" t="s">
        <v>120</v>
      </c>
      <c r="L11" s="122">
        <v>7</v>
      </c>
      <c r="M11" s="109"/>
      <c r="N11" s="109"/>
      <c r="O11" s="123" t="s">
        <v>121</v>
      </c>
      <c r="P11" s="140"/>
      <c r="Q11" s="140"/>
      <c r="R11" s="140"/>
      <c r="S11" s="140"/>
      <c r="T11" s="123">
        <f>H8</f>
        <v>2026</v>
      </c>
      <c r="U11" s="140"/>
      <c r="V11" s="109"/>
      <c r="W11" s="109"/>
      <c r="X11" s="109"/>
      <c r="Y11" s="109"/>
      <c r="Z11" s="109"/>
      <c r="AD11" s="56"/>
      <c r="AE11" s="56"/>
      <c r="AF11" s="56"/>
    </row>
    <row r="12" spans="1:32" s="13" customFormat="1" ht="9.75" customHeight="1" x14ac:dyDescent="0.2">
      <c r="A12" s="74" t="s">
        <v>122</v>
      </c>
      <c r="B12" s="114"/>
      <c r="C12" s="72"/>
      <c r="D12" s="115" t="s">
        <v>116</v>
      </c>
      <c r="E12" s="84" t="s">
        <v>117</v>
      </c>
      <c r="F12" s="84" t="s">
        <v>123</v>
      </c>
      <c r="G12" s="71"/>
      <c r="H12" s="72"/>
      <c r="J12" s="116"/>
      <c r="K12" s="121" t="s">
        <v>124</v>
      </c>
      <c r="L12" s="122">
        <v>0</v>
      </c>
      <c r="M12" s="116"/>
      <c r="N12" s="116"/>
      <c r="O12" s="140"/>
      <c r="P12" s="140"/>
      <c r="Q12" s="140"/>
      <c r="R12" s="140"/>
      <c r="S12" s="140"/>
      <c r="T12" s="140"/>
      <c r="U12" s="140"/>
      <c r="V12" s="116"/>
      <c r="W12" s="116"/>
      <c r="X12" s="116"/>
      <c r="Y12" s="116"/>
      <c r="Z12" s="116"/>
      <c r="AD12" s="118"/>
      <c r="AE12" s="118"/>
      <c r="AF12" s="118"/>
    </row>
    <row r="13" spans="1:32" ht="15.75" customHeight="1" x14ac:dyDescent="0.25">
      <c r="A13" s="452">
        <f>Produktionskostnadskalkyl!C5</f>
        <v>0</v>
      </c>
      <c r="B13" s="119"/>
      <c r="C13" s="81"/>
      <c r="D13" s="106"/>
      <c r="E13" s="106">
        <v>0</v>
      </c>
      <c r="F13" s="106"/>
      <c r="G13" s="85"/>
      <c r="H13" s="81"/>
      <c r="J13" s="109"/>
      <c r="K13" s="121" t="s">
        <v>125</v>
      </c>
      <c r="L13" s="100">
        <v>46500</v>
      </c>
      <c r="M13" s="109"/>
      <c r="N13" s="109"/>
      <c r="O13" s="140" t="s">
        <v>126</v>
      </c>
      <c r="P13" s="140"/>
      <c r="Q13" s="140"/>
      <c r="R13" s="124">
        <f>L13</f>
        <v>46500</v>
      </c>
      <c r="S13" s="140"/>
      <c r="T13" s="140"/>
      <c r="U13" s="140"/>
      <c r="V13" s="109"/>
      <c r="W13" s="109"/>
      <c r="X13" s="109"/>
      <c r="Y13" s="109"/>
      <c r="Z13" s="109"/>
      <c r="AD13" s="56"/>
      <c r="AE13" s="56"/>
      <c r="AF13" s="56"/>
    </row>
    <row r="14" spans="1:32" ht="9" customHeight="1" x14ac:dyDescent="0.2">
      <c r="A14" s="56"/>
      <c r="D14" s="56"/>
      <c r="E14" s="56"/>
      <c r="F14" s="56"/>
      <c r="J14" s="117"/>
      <c r="K14" s="121" t="s">
        <v>127</v>
      </c>
      <c r="L14" s="100">
        <v>64400</v>
      </c>
      <c r="M14" s="109"/>
      <c r="N14" s="109"/>
      <c r="O14" s="140"/>
      <c r="P14" s="140"/>
      <c r="Q14" s="140"/>
      <c r="R14" s="140"/>
      <c r="S14" s="140"/>
      <c r="T14" s="140"/>
      <c r="U14" s="140"/>
      <c r="V14" s="109"/>
      <c r="W14" s="109"/>
      <c r="X14" s="109"/>
      <c r="Y14" s="109"/>
      <c r="Z14" s="109"/>
      <c r="AD14" s="56"/>
      <c r="AE14" s="56"/>
      <c r="AF14" s="56"/>
    </row>
    <row r="15" spans="1:32" s="13" customFormat="1" ht="9.75" customHeight="1" x14ac:dyDescent="0.2">
      <c r="A15" s="71" t="s">
        <v>128</v>
      </c>
      <c r="B15" s="114"/>
      <c r="C15" s="72"/>
      <c r="D15" s="71" t="s">
        <v>8</v>
      </c>
      <c r="E15" s="72"/>
      <c r="F15" s="71" t="s">
        <v>6</v>
      </c>
      <c r="G15" s="114"/>
      <c r="H15" s="125"/>
      <c r="J15" s="117"/>
      <c r="K15" s="121" t="s">
        <v>129</v>
      </c>
      <c r="L15" s="100">
        <v>490700</v>
      </c>
      <c r="M15" s="116"/>
      <c r="N15" s="116"/>
      <c r="O15" s="140"/>
      <c r="P15" s="140"/>
      <c r="Q15" s="140"/>
      <c r="R15" s="140"/>
      <c r="S15" s="140"/>
      <c r="T15" s="140"/>
      <c r="U15" s="140"/>
      <c r="V15" s="116"/>
      <c r="W15" s="116"/>
      <c r="X15" s="116"/>
      <c r="Y15" s="116"/>
      <c r="Z15" s="116"/>
      <c r="AD15" s="118"/>
      <c r="AE15" s="118"/>
      <c r="AF15" s="118"/>
    </row>
    <row r="16" spans="1:32" x14ac:dyDescent="0.2">
      <c r="A16" s="453" t="str">
        <f>Produktionskostnadskalkyl!G4</f>
        <v>Havstenshult, Tomt nr. 11</v>
      </c>
      <c r="B16" s="119"/>
      <c r="C16" s="81"/>
      <c r="D16" s="457" t="str">
        <f>Produktionskostnadskalkyl!G7</f>
        <v>Mullsjö</v>
      </c>
      <c r="E16" s="81"/>
      <c r="F16" s="453" t="str">
        <f>Produktionskostnadskalkyl!A7</f>
        <v>Villa Smedby</v>
      </c>
      <c r="G16" s="119"/>
      <c r="H16" s="81"/>
      <c r="J16" s="108"/>
      <c r="K16" s="121" t="s">
        <v>130</v>
      </c>
      <c r="L16" s="100">
        <v>20</v>
      </c>
      <c r="M16" s="109"/>
      <c r="N16" s="109"/>
      <c r="O16" s="140" t="s">
        <v>131</v>
      </c>
      <c r="P16" s="140"/>
      <c r="Q16" s="140"/>
      <c r="R16" s="140"/>
      <c r="S16" s="140"/>
      <c r="T16" s="140" t="s">
        <v>132</v>
      </c>
      <c r="U16" s="140" t="s">
        <v>133</v>
      </c>
      <c r="V16" s="109"/>
      <c r="W16" s="109"/>
      <c r="X16" s="109"/>
      <c r="Y16" s="109"/>
      <c r="Z16" s="109"/>
      <c r="AD16" s="56"/>
      <c r="AE16" s="56"/>
      <c r="AF16" s="56"/>
    </row>
    <row r="17" spans="1:35" s="13" customFormat="1" ht="9.75" customHeight="1" x14ac:dyDescent="0.2">
      <c r="A17" s="84"/>
      <c r="B17" s="84"/>
      <c r="C17" s="84" t="s">
        <v>134</v>
      </c>
      <c r="D17" s="84" t="s">
        <v>135</v>
      </c>
      <c r="E17" s="84" t="s">
        <v>136</v>
      </c>
      <c r="F17" s="71" t="s">
        <v>7</v>
      </c>
      <c r="G17" s="72"/>
      <c r="H17" s="84"/>
      <c r="J17" s="108"/>
      <c r="K17" s="126" t="s">
        <v>137</v>
      </c>
      <c r="L17" s="127">
        <v>0</v>
      </c>
      <c r="M17" s="116"/>
      <c r="N17" s="116"/>
      <c r="O17" s="140" t="s">
        <v>138</v>
      </c>
      <c r="P17" s="140"/>
      <c r="Q17" s="140"/>
      <c r="R17" s="140"/>
      <c r="S17" s="140"/>
      <c r="T17" s="140" t="s">
        <v>139</v>
      </c>
      <c r="U17" s="128"/>
      <c r="V17" s="116"/>
      <c r="W17" s="116"/>
      <c r="X17" s="116"/>
      <c r="Y17" s="116"/>
      <c r="Z17" s="116"/>
      <c r="AD17" s="118"/>
      <c r="AE17" s="118"/>
      <c r="AF17" s="118"/>
    </row>
    <row r="18" spans="1:35" x14ac:dyDescent="0.2">
      <c r="A18" s="129"/>
      <c r="B18" s="130">
        <v>0</v>
      </c>
      <c r="C18" s="129"/>
      <c r="D18" s="427">
        <v>2026</v>
      </c>
      <c r="E18" s="427"/>
      <c r="F18" s="453">
        <f>Produktionskostnadskalkyl!C7</f>
        <v>0</v>
      </c>
      <c r="G18" s="81"/>
      <c r="H18" s="130">
        <v>0</v>
      </c>
      <c r="I18" s="131"/>
      <c r="J18" s="108"/>
      <c r="K18" s="121" t="s">
        <v>140</v>
      </c>
      <c r="L18" s="100">
        <v>5</v>
      </c>
      <c r="M18" s="109"/>
      <c r="N18" s="109"/>
      <c r="O18" s="140" t="s">
        <v>141</v>
      </c>
      <c r="P18" s="140"/>
      <c r="Q18" s="127">
        <v>0.99</v>
      </c>
      <c r="R18" s="132" t="s">
        <v>142</v>
      </c>
      <c r="S18" s="428"/>
      <c r="T18" s="126">
        <f>ROUND(0.423*$R$13+50,-2)</f>
        <v>19700</v>
      </c>
      <c r="U18" s="126">
        <f>ROUND(0.423*$R$13+50,-2)</f>
        <v>19700</v>
      </c>
      <c r="V18" s="109"/>
      <c r="W18" s="109"/>
      <c r="X18" s="109"/>
      <c r="Y18" s="109"/>
      <c r="Z18" s="109"/>
      <c r="AD18" s="56"/>
      <c r="AE18" s="56"/>
      <c r="AF18" s="56"/>
    </row>
    <row r="19" spans="1:35" x14ac:dyDescent="0.2">
      <c r="J19" s="117"/>
      <c r="K19" s="126" t="s">
        <v>143</v>
      </c>
      <c r="L19" s="127">
        <v>689300</v>
      </c>
      <c r="M19" s="109"/>
      <c r="N19" s="109"/>
      <c r="O19" s="140" t="s">
        <v>144</v>
      </c>
      <c r="P19" s="140"/>
      <c r="Q19" s="127">
        <v>2.72</v>
      </c>
      <c r="R19" s="132" t="s">
        <v>145</v>
      </c>
      <c r="S19" s="428"/>
      <c r="T19" s="126">
        <f>ROUND(0.423*$R$13+(Q24-0.99*$R$13)*0.2+50,-2)</f>
        <v>170500</v>
      </c>
      <c r="U19" s="126">
        <f>ROUND(0.423*$R$13+(R24-0.99*$R$13)*0.2+50,-2)</f>
        <v>10500</v>
      </c>
      <c r="V19" s="109"/>
      <c r="W19" s="109"/>
      <c r="X19" s="109"/>
      <c r="Y19" s="109"/>
      <c r="Z19" s="109"/>
      <c r="AD19" s="56"/>
      <c r="AE19" s="56"/>
      <c r="AF19" s="56"/>
    </row>
    <row r="20" spans="1:35" ht="13.5" customHeight="1" thickBot="1" x14ac:dyDescent="0.25">
      <c r="A20" s="74" t="s">
        <v>146</v>
      </c>
      <c r="B20" s="125"/>
      <c r="C20" s="133" t="s">
        <v>147</v>
      </c>
      <c r="D20" s="133" t="s">
        <v>148</v>
      </c>
      <c r="E20" s="134" t="s">
        <v>149</v>
      </c>
      <c r="F20" s="114" t="s">
        <v>150</v>
      </c>
      <c r="G20" s="125"/>
      <c r="H20" s="135">
        <f>Produktionskostnadskalkyl!G14+Produktionskostnadskalkyl!G29</f>
        <v>2717888</v>
      </c>
      <c r="I20" s="56"/>
      <c r="J20" s="108"/>
      <c r="K20" s="109"/>
      <c r="L20" s="109"/>
      <c r="M20" s="109"/>
      <c r="N20" s="109"/>
      <c r="O20" s="140" t="s">
        <v>151</v>
      </c>
      <c r="P20" s="140"/>
      <c r="Q20" s="127">
        <v>3.11</v>
      </c>
      <c r="R20" s="132" t="s">
        <v>152</v>
      </c>
      <c r="S20" s="428"/>
      <c r="T20" s="126">
        <f>ROUND(0.77*$R$13+50,-2)</f>
        <v>35900</v>
      </c>
      <c r="U20" s="126">
        <f>ROUND(0.77*$R$13+50,-2)</f>
        <v>35900</v>
      </c>
      <c r="V20" s="109"/>
      <c r="W20" s="109"/>
      <c r="X20" s="109"/>
      <c r="Y20" s="109"/>
      <c r="Z20" s="109"/>
      <c r="AD20" s="56"/>
      <c r="AE20" s="56"/>
    </row>
    <row r="21" spans="1:35" ht="13.5" customHeight="1" thickBot="1" x14ac:dyDescent="0.25">
      <c r="A21" s="85"/>
      <c r="B21" s="81"/>
      <c r="C21" s="136"/>
      <c r="D21" s="137"/>
      <c r="E21" s="138" t="s">
        <v>153</v>
      </c>
      <c r="F21" s="114" t="s">
        <v>154</v>
      </c>
      <c r="G21" s="125"/>
      <c r="H21" s="135">
        <f>Produktionskostnadskalkyl!G52-Produktionskostnadskalkyl!D30-Produktionskostnadskalkyl!E30-Produktionskostnadskalkyl!C30+Produktionskostnadskalkyl!G57+Produktionskostnadskalkyl!G61</f>
        <v>746800</v>
      </c>
      <c r="I21" s="56"/>
      <c r="J21" s="139">
        <v>0</v>
      </c>
      <c r="K21" s="140" t="s">
        <v>155</v>
      </c>
      <c r="L21" s="140"/>
      <c r="M21" s="109"/>
      <c r="N21" s="109"/>
      <c r="O21" s="140" t="s">
        <v>156</v>
      </c>
      <c r="P21" s="140"/>
      <c r="Q21" s="127">
        <v>7.88</v>
      </c>
      <c r="R21" s="132" t="s">
        <v>157</v>
      </c>
      <c r="S21" s="428"/>
      <c r="T21" s="126">
        <f>ROUND(0.77*$R$13-(Q24-3.11*$R$13)*0.1+50,-2)</f>
        <v>-29700</v>
      </c>
      <c r="U21" s="126">
        <f>ROUND(0.77*$R$13-(R24-3.11*$R$13)*0.1+50,-2)</f>
        <v>50300</v>
      </c>
      <c r="V21" s="109"/>
      <c r="W21" s="109"/>
      <c r="X21" s="109"/>
      <c r="Y21" s="109"/>
      <c r="Z21" s="109"/>
      <c r="AF21" s="56"/>
    </row>
    <row r="22" spans="1:35" x14ac:dyDescent="0.2">
      <c r="A22" s="141" t="s">
        <v>158</v>
      </c>
      <c r="B22" s="81"/>
      <c r="C22" s="395">
        <v>3.44E-2</v>
      </c>
      <c r="D22" s="456">
        <f>IF(H26=0,0,Blad1!D14)</f>
        <v>0.02</v>
      </c>
      <c r="E22" s="142" t="s">
        <v>337</v>
      </c>
      <c r="F22" s="114" t="s">
        <v>159</v>
      </c>
      <c r="G22" s="125"/>
      <c r="H22" s="135">
        <f>Produktionskostnadskalkyl!C30+Produktionskostnadskalkyl!D30+Produktionskostnadskalkyl!E30</f>
        <v>0</v>
      </c>
      <c r="I22" s="56"/>
      <c r="J22" s="108">
        <v>1</v>
      </c>
      <c r="K22" s="121" t="s">
        <v>160</v>
      </c>
      <c r="L22" s="143">
        <f>ROUND(IF((D11+E11)&lt;L25*L14,(D11+E11)*L24/100,L14*8.07*L24/100),-2)</f>
        <v>36400</v>
      </c>
      <c r="M22" s="108"/>
      <c r="N22" s="109"/>
      <c r="O22" s="140" t="s">
        <v>161</v>
      </c>
      <c r="P22" s="140"/>
      <c r="Q22" s="127">
        <v>7.88</v>
      </c>
      <c r="R22" s="132" t="s">
        <v>162</v>
      </c>
      <c r="S22" s="428"/>
      <c r="T22" s="126">
        <f>ROUND(0.293*$R$13+50,-2)</f>
        <v>13700</v>
      </c>
      <c r="U22" s="126">
        <f>ROUND(0.293*$R$13+50,-2)</f>
        <v>13700</v>
      </c>
      <c r="V22" s="109"/>
      <c r="W22" s="109"/>
      <c r="X22" s="109"/>
      <c r="Y22" s="109"/>
      <c r="Z22" s="109"/>
      <c r="AF22" s="56"/>
      <c r="AG22" s="56"/>
      <c r="AH22" s="56"/>
      <c r="AI22" s="56"/>
    </row>
    <row r="23" spans="1:35" ht="13.5" customHeight="1" thickBot="1" x14ac:dyDescent="0.25">
      <c r="A23" s="141" t="s">
        <v>163</v>
      </c>
      <c r="B23" s="81"/>
      <c r="C23" s="396">
        <v>3.44E-2</v>
      </c>
      <c r="D23" s="456">
        <f>IF(H26=0,0,Blad1!D14)</f>
        <v>0.02</v>
      </c>
      <c r="E23" s="144" t="s">
        <v>337</v>
      </c>
      <c r="F23" s="145" t="s">
        <v>164</v>
      </c>
      <c r="G23" s="146"/>
      <c r="H23" s="100">
        <f>SUM(H20:H22)</f>
        <v>3464688</v>
      </c>
      <c r="I23" s="56"/>
      <c r="J23" s="108"/>
      <c r="K23" s="121" t="s">
        <v>133</v>
      </c>
      <c r="L23" s="143">
        <f>ROUND(IF((D13+E13)&lt;L25*L14,(D13+E13)*L24/100,L14*8.07*L24/100),-2)</f>
        <v>0</v>
      </c>
      <c r="M23" s="108"/>
      <c r="N23" s="109"/>
      <c r="O23" s="140"/>
      <c r="P23" s="140"/>
      <c r="Q23" s="140"/>
      <c r="R23" s="140"/>
      <c r="S23" s="140"/>
      <c r="T23" s="140"/>
      <c r="U23" s="140"/>
      <c r="V23" s="109"/>
      <c r="W23" s="109"/>
      <c r="X23" s="109"/>
      <c r="Y23" s="109"/>
      <c r="Z23" s="109"/>
      <c r="AF23" s="56"/>
      <c r="AG23" s="131"/>
      <c r="AH23" s="131"/>
      <c r="AI23" s="56"/>
    </row>
    <row r="24" spans="1:35" ht="16.5" customHeight="1" thickBot="1" x14ac:dyDescent="0.3">
      <c r="A24" s="141" t="s">
        <v>165</v>
      </c>
      <c r="B24" s="81"/>
      <c r="C24" s="274"/>
      <c r="D24" s="275"/>
      <c r="E24" s="271"/>
      <c r="F24" s="114" t="s">
        <v>166</v>
      </c>
      <c r="G24" s="125"/>
      <c r="H24" s="147">
        <v>360000</v>
      </c>
      <c r="I24" s="148"/>
      <c r="J24" s="108"/>
      <c r="K24" s="149" t="s">
        <v>167</v>
      </c>
      <c r="L24" s="122">
        <f>L11+L12</f>
        <v>7</v>
      </c>
      <c r="M24" s="109"/>
      <c r="N24" s="109"/>
      <c r="O24" s="140" t="s">
        <v>168</v>
      </c>
      <c r="P24" s="140"/>
      <c r="Q24" s="124">
        <f>D11</f>
        <v>800000</v>
      </c>
      <c r="R24" s="124">
        <f>D13</f>
        <v>0</v>
      </c>
      <c r="S24" s="140"/>
      <c r="T24" s="140"/>
      <c r="U24" s="140"/>
      <c r="V24" s="109"/>
      <c r="W24" s="109"/>
      <c r="X24" s="109"/>
      <c r="Y24" s="109"/>
      <c r="Z24" s="109"/>
      <c r="AF24" s="56"/>
      <c r="AG24" s="131"/>
      <c r="AH24" s="131"/>
      <c r="AI24" s="56"/>
    </row>
    <row r="25" spans="1:35" ht="16.5" customHeight="1" thickBot="1" x14ac:dyDescent="0.3">
      <c r="F25" s="71" t="s">
        <v>169</v>
      </c>
      <c r="G25" s="125"/>
      <c r="H25" s="100">
        <f>H23-H24</f>
        <v>3104688</v>
      </c>
      <c r="I25" s="56"/>
      <c r="J25" s="109"/>
      <c r="K25" s="150" t="s">
        <v>170</v>
      </c>
      <c r="L25" s="151">
        <v>8.07</v>
      </c>
      <c r="M25" s="109"/>
      <c r="N25" s="109"/>
      <c r="O25" s="140" t="s">
        <v>171</v>
      </c>
      <c r="P25" s="140"/>
      <c r="Q25" s="124">
        <f>IF(Q24&lt;$R$13*$Q$18,T18,IF(AND(Q24&lt;$Q$19*$R$13,Q24&gt;$Q$18),T19,IF(AND(Q24&lt;$Q$20*$R$13,Q24&gt;$R$13*$Q$19),T20,IF(AND(Q24&lt;Q21*$R$13,Q24&gt;$Q$20*$R$13),T21,IF(Q24&lt;$Q$22,0,T22)))))</f>
        <v>13700</v>
      </c>
      <c r="R25" s="124">
        <f>IF(R24&lt;$R$13*$Q$18,U18,IF(AND(R24&lt;$Q$19*$R$13,R24&gt;$Q$18),U19,IF(AND(R24&lt;$Q$20*$R$13,R24&gt;$R$13*$Q$19),U20,IF(AND(R24&lt;Q21*$R$13,R24&gt;$Q$20*$R$13),U21,IF(R24&lt;$Q$22,0,U22)))))</f>
        <v>19700</v>
      </c>
      <c r="S25" s="140"/>
      <c r="T25" s="140"/>
      <c r="U25" s="140"/>
      <c r="V25" s="109"/>
      <c r="W25" s="109"/>
      <c r="X25" s="109"/>
      <c r="Y25" s="109"/>
      <c r="Z25" s="109"/>
      <c r="AF25" s="56"/>
      <c r="AG25" s="131"/>
      <c r="AH25" s="131"/>
      <c r="AI25" s="56"/>
    </row>
    <row r="26" spans="1:35" x14ac:dyDescent="0.2">
      <c r="A26" s="13"/>
      <c r="C26" s="276"/>
      <c r="D26" s="277"/>
      <c r="E26" s="278"/>
      <c r="F26" s="272" t="s">
        <v>91</v>
      </c>
      <c r="G26" s="273"/>
      <c r="H26" s="305">
        <f>H23</f>
        <v>3464688</v>
      </c>
      <c r="I26" s="56"/>
      <c r="J26" s="108"/>
      <c r="K26" s="117"/>
      <c r="L26" s="117"/>
      <c r="M26" s="117"/>
      <c r="N26" s="109"/>
      <c r="O26" s="140"/>
      <c r="P26" s="140"/>
      <c r="Q26" s="140"/>
      <c r="R26" s="140"/>
      <c r="S26" s="140"/>
      <c r="T26" s="140"/>
      <c r="U26" s="140"/>
      <c r="V26" s="109"/>
      <c r="W26" s="109"/>
      <c r="X26" s="109"/>
      <c r="Y26" s="109"/>
      <c r="Z26" s="109"/>
      <c r="AF26" s="56"/>
      <c r="AG26" s="56"/>
      <c r="AH26" s="56"/>
      <c r="AI26" s="56"/>
    </row>
    <row r="27" spans="1:35" ht="13.5" customHeight="1" thickBot="1" x14ac:dyDescent="0.25">
      <c r="G27" s="56"/>
      <c r="H27" s="56" t="s">
        <v>20</v>
      </c>
      <c r="I27" s="56"/>
      <c r="J27" s="109"/>
      <c r="K27" s="109"/>
      <c r="L27" s="109"/>
      <c r="M27" s="109"/>
      <c r="N27" s="109"/>
      <c r="O27" s="109"/>
      <c r="P27" s="108"/>
      <c r="Q27" s="109"/>
      <c r="R27" s="109"/>
      <c r="S27" s="109"/>
      <c r="T27" s="108"/>
      <c r="U27" s="109"/>
      <c r="V27" s="109"/>
      <c r="W27" s="109"/>
      <c r="X27" s="109"/>
      <c r="Y27" s="109"/>
      <c r="Z27" s="109"/>
      <c r="AF27" s="56"/>
      <c r="AG27" s="56"/>
      <c r="AH27" s="56"/>
      <c r="AI27" s="56"/>
    </row>
    <row r="28" spans="1:35" x14ac:dyDescent="0.2">
      <c r="A28" s="74" t="s">
        <v>172</v>
      </c>
      <c r="B28" s="83"/>
      <c r="C28" s="114"/>
      <c r="D28" s="125"/>
      <c r="E28" s="127" t="s">
        <v>173</v>
      </c>
      <c r="F28" s="152" t="s">
        <v>147</v>
      </c>
      <c r="G28" s="152" t="s">
        <v>174</v>
      </c>
      <c r="H28" s="133" t="s">
        <v>175</v>
      </c>
      <c r="I28" s="131"/>
      <c r="J28" s="109"/>
      <c r="K28" s="140" t="s">
        <v>176</v>
      </c>
      <c r="L28" s="140"/>
      <c r="M28" s="109"/>
      <c r="N28" s="295"/>
      <c r="O28" s="153" t="s">
        <v>177</v>
      </c>
      <c r="P28" s="154"/>
      <c r="Q28" s="155"/>
      <c r="R28" s="156" t="s">
        <v>178</v>
      </c>
      <c r="S28" s="156" t="s">
        <v>179</v>
      </c>
      <c r="T28" s="157" t="s">
        <v>175</v>
      </c>
      <c r="U28" s="109"/>
      <c r="V28" s="295"/>
      <c r="W28" s="295"/>
      <c r="X28" s="295"/>
      <c r="Y28" s="295"/>
      <c r="Z28" s="295"/>
      <c r="AF28" s="56"/>
      <c r="AG28" s="56"/>
      <c r="AH28" s="56"/>
      <c r="AI28" s="56"/>
    </row>
    <row r="29" spans="1:35" x14ac:dyDescent="0.2">
      <c r="A29" s="74" t="s">
        <v>158</v>
      </c>
      <c r="B29" s="83" t="s">
        <v>20</v>
      </c>
      <c r="C29" s="114"/>
      <c r="D29" s="125" t="s">
        <v>20</v>
      </c>
      <c r="E29" s="246">
        <f>Blad1!D17</f>
        <v>1732344</v>
      </c>
      <c r="F29" s="135">
        <f>C22*E29</f>
        <v>59592.633600000001</v>
      </c>
      <c r="G29" s="135">
        <f>IF(H26=0,0,D22*E29)</f>
        <v>34646.879999999997</v>
      </c>
      <c r="H29" s="135">
        <f>SUM(F29:G29)</f>
        <v>94239.513600000006</v>
      </c>
      <c r="I29" s="56"/>
      <c r="J29" s="160"/>
      <c r="K29" s="161">
        <v>1</v>
      </c>
      <c r="L29" s="109"/>
      <c r="M29" s="109"/>
      <c r="N29" s="295"/>
      <c r="O29" s="162"/>
      <c r="P29" s="162"/>
      <c r="Q29" s="163"/>
      <c r="R29" s="164"/>
      <c r="S29" s="165"/>
      <c r="T29" s="166"/>
      <c r="U29" s="109"/>
      <c r="V29" s="295"/>
      <c r="W29" s="295"/>
      <c r="X29" s="295"/>
      <c r="Y29" s="295"/>
      <c r="Z29" s="295"/>
      <c r="AH29" s="56"/>
      <c r="AI29" s="56"/>
    </row>
    <row r="30" spans="1:35" x14ac:dyDescent="0.2">
      <c r="A30" s="292" t="s">
        <v>180</v>
      </c>
      <c r="B30" s="429" t="s">
        <v>20</v>
      </c>
      <c r="C30" s="293"/>
      <c r="D30" s="430" t="s">
        <v>20</v>
      </c>
      <c r="E30" s="269">
        <f>Blad1!D18</f>
        <v>1372344</v>
      </c>
      <c r="F30" s="269">
        <f>C23*E30</f>
        <v>47208.633600000001</v>
      </c>
      <c r="G30" s="269">
        <f>IF(H26=0,0,E30*D23)</f>
        <v>27446.880000000001</v>
      </c>
      <c r="H30" s="269">
        <f>SUM(F30:G30)</f>
        <v>74655.513600000006</v>
      </c>
      <c r="I30" s="56"/>
      <c r="J30" s="108"/>
      <c r="K30" s="140">
        <f>IF(K29&lt;1,0,IF(0.9*H26-E31&lt;E35-E31-E34,0.9*H26-E31,E35-E31-E34))</f>
        <v>0</v>
      </c>
      <c r="L30" s="109"/>
      <c r="M30" s="109"/>
      <c r="N30" s="295"/>
      <c r="O30" s="162" t="s">
        <v>181</v>
      </c>
      <c r="P30" s="162"/>
      <c r="Q30" s="163"/>
      <c r="R30" s="164">
        <f>D11</f>
        <v>800000</v>
      </c>
      <c r="S30" s="164">
        <f>D13</f>
        <v>0</v>
      </c>
      <c r="T30" s="167">
        <f t="shared" ref="T30:T35" si="0">SUM(R30:S30)</f>
        <v>800000</v>
      </c>
      <c r="U30" s="109"/>
      <c r="V30" s="109"/>
      <c r="W30" s="108"/>
      <c r="X30" s="108"/>
      <c r="Y30" s="108"/>
      <c r="Z30" s="108"/>
      <c r="AF30" s="56"/>
      <c r="AG30" s="56"/>
    </row>
    <row r="31" spans="1:35" x14ac:dyDescent="0.2">
      <c r="A31" s="141" t="s">
        <v>182</v>
      </c>
      <c r="B31" s="170"/>
      <c r="C31" s="171"/>
      <c r="D31" s="431">
        <f>IF(H26=0,0,Blad1!D12)</f>
        <v>0.89609454011443457</v>
      </c>
      <c r="E31" s="105">
        <f>SUM(E29:E30)</f>
        <v>3104688</v>
      </c>
      <c r="F31" s="104">
        <f>SUM(F29:F30)</f>
        <v>106801.2672</v>
      </c>
      <c r="G31" s="104">
        <f>SUM(G29:G30)</f>
        <v>62093.759999999995</v>
      </c>
      <c r="H31" s="291">
        <f>SUM(H29:H30)</f>
        <v>168895.02720000001</v>
      </c>
      <c r="I31" s="56"/>
      <c r="J31" s="168"/>
      <c r="K31" s="109"/>
      <c r="L31" s="109"/>
      <c r="M31" s="109"/>
      <c r="N31" s="295"/>
      <c r="O31" s="162" t="s">
        <v>183</v>
      </c>
      <c r="P31" s="162"/>
      <c r="Q31" s="163"/>
      <c r="R31" s="164"/>
      <c r="S31" s="165"/>
      <c r="T31" s="167">
        <f t="shared" si="0"/>
        <v>0</v>
      </c>
      <c r="U31" s="109"/>
      <c r="V31" s="109"/>
      <c r="W31" s="108"/>
      <c r="X31" s="108"/>
      <c r="Y31" s="108"/>
      <c r="Z31" s="108"/>
      <c r="AG31" s="56"/>
    </row>
    <row r="32" spans="1:35" x14ac:dyDescent="0.2">
      <c r="A32" s="158" t="s">
        <v>184</v>
      </c>
      <c r="B32" s="159"/>
      <c r="C32" s="145"/>
      <c r="D32" s="432">
        <f>IF(H26=0,0,E32/E35)</f>
        <v>0</v>
      </c>
      <c r="E32" s="305">
        <f>Blad1!D19</f>
        <v>0</v>
      </c>
      <c r="F32" s="175">
        <f>E32*C24</f>
        <v>0</v>
      </c>
      <c r="G32" s="135">
        <f>E32*D24</f>
        <v>0</v>
      </c>
      <c r="H32" s="105">
        <f>SUM(F32:G32)</f>
        <v>0</v>
      </c>
      <c r="I32" s="56"/>
      <c r="J32" s="108"/>
      <c r="K32" s="108"/>
      <c r="L32" s="108"/>
      <c r="M32" s="109"/>
      <c r="N32" s="295"/>
      <c r="O32" s="169" t="s">
        <v>168</v>
      </c>
      <c r="P32" s="162"/>
      <c r="Q32" s="163"/>
      <c r="R32" s="164">
        <f>R30-R31</f>
        <v>800000</v>
      </c>
      <c r="S32" s="164">
        <f>S30-S31</f>
        <v>0</v>
      </c>
      <c r="T32" s="167">
        <f t="shared" si="0"/>
        <v>800000</v>
      </c>
      <c r="U32" s="109"/>
      <c r="V32" s="109"/>
      <c r="W32" s="108"/>
      <c r="X32" s="108"/>
      <c r="Y32" s="108"/>
      <c r="Z32" s="108"/>
      <c r="AF32" s="56"/>
      <c r="AG32" s="56"/>
    </row>
    <row r="33" spans="1:34" x14ac:dyDescent="0.2">
      <c r="A33" s="158" t="s">
        <v>20</v>
      </c>
      <c r="B33" s="159"/>
      <c r="C33" s="145"/>
      <c r="D33" s="255"/>
      <c r="E33" s="100"/>
      <c r="F33" s="177">
        <f>E33*C26/100</f>
        <v>0</v>
      </c>
      <c r="G33" s="100">
        <f>E33*D26/100</f>
        <v>0</v>
      </c>
      <c r="H33" s="100"/>
      <c r="I33" s="56"/>
      <c r="J33" s="108"/>
      <c r="K33" s="108"/>
      <c r="L33" s="108"/>
      <c r="M33" s="108"/>
      <c r="N33" s="295"/>
      <c r="O33" s="172" t="s">
        <v>185</v>
      </c>
      <c r="P33" s="173"/>
      <c r="Q33" s="174"/>
      <c r="R33" s="164">
        <f>E11</f>
        <v>0</v>
      </c>
      <c r="S33" s="164">
        <f>E13</f>
        <v>0</v>
      </c>
      <c r="T33" s="167">
        <f t="shared" si="0"/>
        <v>0</v>
      </c>
      <c r="U33" s="109"/>
      <c r="V33" s="279" t="s">
        <v>186</v>
      </c>
      <c r="W33" s="279"/>
      <c r="X33" s="279"/>
      <c r="Y33" s="279">
        <f>((2.155*Z44-Q25)*(A18-1.2)/100+0.03*13.54*Z44)/0.03</f>
        <v>595007</v>
      </c>
      <c r="Z33" s="279"/>
      <c r="AF33" s="56"/>
      <c r="AG33" s="56"/>
    </row>
    <row r="34" spans="1:34" x14ac:dyDescent="0.2">
      <c r="A34" s="141" t="s">
        <v>187</v>
      </c>
      <c r="B34" s="170"/>
      <c r="C34" s="171"/>
      <c r="D34" s="432">
        <f>IF(H26=0,0,H24/H26)</f>
        <v>0.10390545988556546</v>
      </c>
      <c r="E34" s="79">
        <f>H24</f>
        <v>360000</v>
      </c>
      <c r="F34" s="181"/>
      <c r="G34" s="181"/>
      <c r="H34" s="182"/>
      <c r="I34" s="56"/>
      <c r="J34" s="160"/>
      <c r="K34" s="108"/>
      <c r="L34" s="108"/>
      <c r="M34" s="108"/>
      <c r="N34" s="295"/>
      <c r="O34" s="176" t="s">
        <v>171</v>
      </c>
      <c r="P34" s="162"/>
      <c r="Q34" s="163"/>
      <c r="R34" s="164">
        <f>-Q25</f>
        <v>-13700</v>
      </c>
      <c r="S34" s="164">
        <f>-R25</f>
        <v>-19700</v>
      </c>
      <c r="T34" s="167">
        <f t="shared" si="0"/>
        <v>-33400</v>
      </c>
      <c r="U34" s="109"/>
      <c r="V34" s="280" t="s">
        <v>188</v>
      </c>
      <c r="W34" s="279"/>
      <c r="X34" s="279"/>
      <c r="Y34" s="279">
        <f>((2.155*Z44-R25)*(A18-1.2)/100+0.03*13.54*Z44)/0.03</f>
        <v>597407</v>
      </c>
      <c r="Z34" s="279"/>
      <c r="AF34" s="56"/>
      <c r="AG34" s="56"/>
    </row>
    <row r="35" spans="1:34" x14ac:dyDescent="0.2">
      <c r="A35" s="177" t="s">
        <v>189</v>
      </c>
      <c r="B35" s="186"/>
      <c r="C35" s="97"/>
      <c r="D35" s="81"/>
      <c r="E35" s="100">
        <f>H23</f>
        <v>3464688</v>
      </c>
      <c r="F35" s="177">
        <f>SUM(F31:F34)</f>
        <v>106801.2672</v>
      </c>
      <c r="G35" s="177">
        <f>SUM(G31:G34)</f>
        <v>62093.759999999995</v>
      </c>
      <c r="H35" s="269">
        <f>SUM(H31:H34)</f>
        <v>168895.02720000001</v>
      </c>
      <c r="I35" s="56"/>
      <c r="J35" s="108"/>
      <c r="K35" s="108"/>
      <c r="L35" s="108"/>
      <c r="M35" s="109"/>
      <c r="N35" s="295"/>
      <c r="O35" s="169" t="s">
        <v>190</v>
      </c>
      <c r="P35" s="162"/>
      <c r="Q35" s="163"/>
      <c r="R35" s="164">
        <f>SUM(R32:R34)</f>
        <v>786300</v>
      </c>
      <c r="S35" s="164">
        <f>SUM(S32:S34)</f>
        <v>-19700</v>
      </c>
      <c r="T35" s="167">
        <f t="shared" si="0"/>
        <v>766600</v>
      </c>
      <c r="U35" s="109"/>
      <c r="V35" s="109"/>
      <c r="W35" s="108"/>
      <c r="X35" s="108"/>
      <c r="Y35" s="108"/>
      <c r="Z35" s="108"/>
      <c r="AF35" s="56"/>
      <c r="AG35" s="56"/>
    </row>
    <row r="36" spans="1:34" x14ac:dyDescent="0.2">
      <c r="A36" s="304"/>
      <c r="H36" s="56"/>
      <c r="I36" s="103"/>
      <c r="J36" s="108"/>
      <c r="K36" s="109"/>
      <c r="L36" s="108"/>
      <c r="M36" s="109"/>
      <c r="N36" s="295"/>
      <c r="O36" s="169"/>
      <c r="P36" s="162"/>
      <c r="Q36" s="163"/>
      <c r="R36" s="164"/>
      <c r="S36" s="165"/>
      <c r="T36" s="167"/>
      <c r="U36" s="109"/>
      <c r="V36" s="288" t="s">
        <v>20</v>
      </c>
      <c r="W36" s="281" t="s">
        <v>20</v>
      </c>
      <c r="X36" s="282" t="s">
        <v>191</v>
      </c>
      <c r="Y36" s="283" t="s">
        <v>160</v>
      </c>
      <c r="Z36" s="284" t="s">
        <v>192</v>
      </c>
      <c r="AH36">
        <f>IF((D11+D13)*4.5&gt;(E31+E32),(E31+E32)*0.01,0)</f>
        <v>31046.880000000001</v>
      </c>
    </row>
    <row r="37" spans="1:34" ht="15" customHeight="1" x14ac:dyDescent="0.2">
      <c r="A37" s="433" t="str">
        <f>IF(D34&lt;10%,"OBS! Kontantinsatsen är under 10%  och bör höjas","")</f>
        <v/>
      </c>
      <c r="I37" s="56"/>
      <c r="J37" s="108"/>
      <c r="K37" s="109"/>
      <c r="L37" s="108"/>
      <c r="M37" s="109"/>
      <c r="N37" s="295"/>
      <c r="O37" s="169" t="s">
        <v>193</v>
      </c>
      <c r="P37" s="162"/>
      <c r="Q37" s="163"/>
      <c r="R37" s="164">
        <f>IF(R35&lt;-8750,0,R35*A18/100)</f>
        <v>0</v>
      </c>
      <c r="S37" s="164">
        <f>IF(S35&lt;-8650,0,S35*A18/100)</f>
        <v>0</v>
      </c>
      <c r="T37" s="167">
        <f t="shared" ref="T37:T42" si="1">SUM(R37:S37)</f>
        <v>0</v>
      </c>
      <c r="U37" s="109"/>
      <c r="V37" s="434">
        <f>Z44*0.91</f>
        <v>42315</v>
      </c>
      <c r="W37" s="284" t="s">
        <v>194</v>
      </c>
      <c r="X37" s="282">
        <v>0.91</v>
      </c>
      <c r="Y37" s="283">
        <v>0</v>
      </c>
      <c r="Z37" s="283">
        <v>0</v>
      </c>
      <c r="AG37" s="56"/>
    </row>
    <row r="38" spans="1:34" x14ac:dyDescent="0.2">
      <c r="A38" s="56" t="s">
        <v>20</v>
      </c>
      <c r="B38" s="56"/>
      <c r="D38" s="188"/>
      <c r="E38" s="56"/>
      <c r="F38" s="56"/>
      <c r="G38" s="118"/>
      <c r="H38" s="56"/>
      <c r="I38" s="56"/>
      <c r="J38" s="108"/>
      <c r="K38" s="108"/>
      <c r="L38" s="108"/>
      <c r="M38" s="108"/>
      <c r="N38" s="295"/>
      <c r="O38" s="169" t="s">
        <v>195</v>
      </c>
      <c r="P38" s="162"/>
      <c r="Q38" s="163"/>
      <c r="R38" s="164">
        <f>IF(R35&lt;L15,0,(R35-L15)*L16/100)</f>
        <v>59120</v>
      </c>
      <c r="S38" s="164">
        <f>IF(S35&lt;L15,0,(S35-L15)*L16/100)</f>
        <v>0</v>
      </c>
      <c r="T38" s="167">
        <f t="shared" si="1"/>
        <v>59120</v>
      </c>
      <c r="U38" s="109"/>
      <c r="V38" s="283">
        <f>Z44*2.94</f>
        <v>136710</v>
      </c>
      <c r="W38" s="284" t="s">
        <v>196</v>
      </c>
      <c r="X38" s="282">
        <v>2.94</v>
      </c>
      <c r="Y38" s="283">
        <f>((0.91*Z44+0.332*(Q24-0.91*Z44)-Q25)*($A$18-1.2)/100)</f>
        <v>-3361.9970400000002</v>
      </c>
      <c r="Z38" s="283">
        <f>((0.91*Z44+0.332*(R24-0.91*Z44)-R25)*($A$18-1.2)/100)</f>
        <v>-102.79703999999998</v>
      </c>
      <c r="AF38" s="56"/>
      <c r="AG38" s="56"/>
    </row>
    <row r="39" spans="1:34" ht="13.5" customHeight="1" thickBot="1" x14ac:dyDescent="0.25">
      <c r="A39" s="56"/>
      <c r="F39" s="56"/>
      <c r="G39" s="189" t="s">
        <v>197</v>
      </c>
      <c r="H39" s="100">
        <f>H35+H36</f>
        <v>168895.02720000001</v>
      </c>
      <c r="I39" s="56"/>
      <c r="J39" s="108"/>
      <c r="K39" s="109"/>
      <c r="L39" s="109"/>
      <c r="M39" s="108"/>
      <c r="N39" s="295"/>
      <c r="O39" s="169" t="s">
        <v>198</v>
      </c>
      <c r="P39" s="162"/>
      <c r="Q39" s="163">
        <f>L19</f>
        <v>689300</v>
      </c>
      <c r="R39" s="164">
        <f>IF(R35&lt;L19,0,(R35-L19)*L18/100)</f>
        <v>4850</v>
      </c>
      <c r="S39" s="164">
        <f>IF(S35&lt;L19,0,(S35-L19)*L18/100)</f>
        <v>0</v>
      </c>
      <c r="T39" s="167">
        <f t="shared" si="1"/>
        <v>4850</v>
      </c>
      <c r="U39" s="109"/>
      <c r="V39" s="283">
        <f>Z44*8.08</f>
        <v>375720</v>
      </c>
      <c r="W39" s="284" t="s">
        <v>199</v>
      </c>
      <c r="X39" s="282">
        <v>8.08</v>
      </c>
      <c r="Y39" s="283">
        <f>(1.584*Z44+(Q24-2.94*Z44)*0.111-Q25)*(A18-1.2)/100</f>
        <v>-1602.9742799999999</v>
      </c>
      <c r="Z39" s="283">
        <f>(1.584*Z44+(R24-2.94*Z44)*0.111-R25)*(A18-1.2)/100</f>
        <v>-465.37428</v>
      </c>
      <c r="AF39" s="56"/>
      <c r="AG39" s="56"/>
    </row>
    <row r="40" spans="1:34" ht="13.5" customHeight="1" thickBot="1" x14ac:dyDescent="0.25">
      <c r="A40" s="190" t="s">
        <v>200</v>
      </c>
      <c r="B40" s="56"/>
      <c r="E40" s="56"/>
      <c r="F40" s="56"/>
      <c r="G40" s="74" t="s">
        <v>201</v>
      </c>
      <c r="H40" s="135">
        <f>Driftkostnad!I33+Driftkostnad!I35</f>
        <v>37000</v>
      </c>
      <c r="I40" s="56"/>
      <c r="J40" s="109"/>
      <c r="K40" s="109"/>
      <c r="L40" s="109"/>
      <c r="M40" s="108"/>
      <c r="N40" s="295"/>
      <c r="O40" s="169" t="s">
        <v>202</v>
      </c>
      <c r="P40" s="162"/>
      <c r="Q40" s="191">
        <v>1</v>
      </c>
      <c r="R40" s="164">
        <f>ROUND(-L22*Q40,-2)</f>
        <v>-36400</v>
      </c>
      <c r="S40" s="164">
        <f>ROUND(-L23*Q40,-2)</f>
        <v>0</v>
      </c>
      <c r="T40" s="167">
        <f t="shared" si="1"/>
        <v>-36400</v>
      </c>
      <c r="U40" s="109"/>
      <c r="V40" s="435">
        <f>Z44*13.54</f>
        <v>629610</v>
      </c>
      <c r="W40" s="436" t="s">
        <v>203</v>
      </c>
      <c r="X40" s="282">
        <v>13.54</v>
      </c>
      <c r="Y40" s="285">
        <f>(2.155*Z44-Q25)*($A$18-1.2)/100</f>
        <v>-1038.0899999999999</v>
      </c>
      <c r="Z40" s="285">
        <f>(2.155*Z44-R25)*($A$18-1.2)/100</f>
        <v>-966.0899999999998</v>
      </c>
      <c r="AF40" s="56"/>
      <c r="AG40" s="56"/>
    </row>
    <row r="41" spans="1:34" x14ac:dyDescent="0.2">
      <c r="A41" s="118" t="s">
        <v>204</v>
      </c>
      <c r="B41" s="93"/>
      <c r="D41" s="13" t="s">
        <v>205</v>
      </c>
      <c r="E41" s="192"/>
      <c r="F41" s="193"/>
      <c r="G41" s="189" t="s">
        <v>206</v>
      </c>
      <c r="H41" s="135">
        <f>B41*E41/100</f>
        <v>0</v>
      </c>
      <c r="I41" s="56"/>
      <c r="J41" s="109"/>
      <c r="K41" s="194" t="s">
        <v>207</v>
      </c>
      <c r="L41" s="194"/>
      <c r="M41" s="195"/>
      <c r="N41" s="295"/>
      <c r="O41" s="172" t="s">
        <v>208</v>
      </c>
      <c r="P41" s="173"/>
      <c r="Q41" s="174"/>
      <c r="R41" s="196">
        <f>L22</f>
        <v>36400</v>
      </c>
      <c r="S41" s="196">
        <f>L23</f>
        <v>0</v>
      </c>
      <c r="T41" s="197">
        <f t="shared" si="1"/>
        <v>36400</v>
      </c>
      <c r="U41" s="109"/>
      <c r="V41" s="289">
        <f>Z44*13.54</f>
        <v>629610</v>
      </c>
      <c r="W41" s="286" t="s">
        <v>209</v>
      </c>
      <c r="X41" s="282">
        <v>13.54</v>
      </c>
      <c r="Y41" s="287">
        <f>IF(Q24&gt;Y33,0,(2.155*Z44-Q25)*(A18-1.2)/100-(Q24-13.54*Z44)*0.03)</f>
        <v>0</v>
      </c>
      <c r="Z41" s="287">
        <f>IF(R24&gt;Y34,0,(2.155*Z44-R25)*(A18-1.2)/100-(R24-13.54*Z44)*0.03)</f>
        <v>17922.21</v>
      </c>
      <c r="AB41" s="56"/>
      <c r="AC41" s="56"/>
      <c r="AD41" s="56"/>
      <c r="AE41" s="56"/>
      <c r="AF41" s="56"/>
      <c r="AG41" s="56"/>
    </row>
    <row r="42" spans="1:34" x14ac:dyDescent="0.2">
      <c r="F42" s="56"/>
      <c r="G42" s="74" t="s">
        <v>210</v>
      </c>
      <c r="H42" s="135">
        <f>Driftkostnad!I35</f>
        <v>0</v>
      </c>
      <c r="I42" s="56"/>
      <c r="J42" s="108"/>
      <c r="K42" s="163"/>
      <c r="L42" s="164" t="s">
        <v>211</v>
      </c>
      <c r="M42" s="167" t="s">
        <v>212</v>
      </c>
      <c r="N42" s="295"/>
      <c r="O42" s="164" t="s">
        <v>213</v>
      </c>
      <c r="P42" s="198"/>
      <c r="Q42" s="199"/>
      <c r="R42" s="164">
        <f>-V47</f>
        <v>0</v>
      </c>
      <c r="S42" s="164">
        <f>-W47</f>
        <v>0</v>
      </c>
      <c r="T42" s="164">
        <f t="shared" si="1"/>
        <v>0</v>
      </c>
      <c r="U42" s="109"/>
      <c r="V42" s="116"/>
      <c r="W42" s="116"/>
      <c r="X42" s="116"/>
      <c r="Y42" s="116"/>
      <c r="Z42" s="116"/>
      <c r="AB42" s="56"/>
      <c r="AE42" s="56"/>
      <c r="AF42" s="56"/>
      <c r="AG42" s="56"/>
    </row>
    <row r="43" spans="1:34" ht="13.5" customHeight="1" thickBot="1" x14ac:dyDescent="0.25">
      <c r="A43" s="200" t="s">
        <v>20</v>
      </c>
      <c r="F43" s="56"/>
      <c r="G43" s="74" t="s">
        <v>214</v>
      </c>
      <c r="H43" s="135">
        <f>H39+H40+H41+H42</f>
        <v>205895.02720000001</v>
      </c>
      <c r="I43" s="56"/>
      <c r="J43" s="108"/>
      <c r="K43" s="163">
        <f>F11</f>
        <v>0</v>
      </c>
      <c r="L43" s="164">
        <f>K43*1250</f>
        <v>0</v>
      </c>
      <c r="M43" s="201"/>
      <c r="N43" s="295"/>
      <c r="O43" s="202" t="s">
        <v>215</v>
      </c>
      <c r="P43" s="203"/>
      <c r="Q43" s="204"/>
      <c r="R43" s="205">
        <f>SUM(R37:R42)</f>
        <v>63970</v>
      </c>
      <c r="S43" s="205">
        <f>SUM(S37:S42)</f>
        <v>0</v>
      </c>
      <c r="T43" s="206">
        <f>SUM(T36:T42)</f>
        <v>63970</v>
      </c>
      <c r="U43" s="109"/>
      <c r="V43" s="178" t="s">
        <v>216</v>
      </c>
      <c r="W43" s="178"/>
      <c r="X43" s="178"/>
      <c r="Y43" s="179" t="s">
        <v>217</v>
      </c>
      <c r="Z43" s="180" t="s">
        <v>218</v>
      </c>
      <c r="AB43" s="56"/>
      <c r="AC43" s="56"/>
      <c r="AD43" s="56"/>
      <c r="AE43" s="56"/>
      <c r="AF43" s="56"/>
      <c r="AG43" s="56"/>
    </row>
    <row r="44" spans="1:34" ht="13.5" customHeight="1" thickBot="1" x14ac:dyDescent="0.25">
      <c r="F44" s="56"/>
      <c r="G44" s="74" t="s">
        <v>219</v>
      </c>
      <c r="H44" s="135">
        <f>ROUND((F35+H41)*0.3,0)</f>
        <v>32040</v>
      </c>
      <c r="I44" s="56"/>
      <c r="J44" s="109"/>
      <c r="K44" s="163" t="s">
        <v>220</v>
      </c>
      <c r="L44" s="164">
        <f>IF(K43=2,150,0)</f>
        <v>0</v>
      </c>
      <c r="M44" s="201"/>
      <c r="N44" s="295"/>
      <c r="O44" s="207" t="s">
        <v>221</v>
      </c>
      <c r="P44" s="208"/>
      <c r="Q44" s="209"/>
      <c r="R44" s="210">
        <f>R30-R43</f>
        <v>736030</v>
      </c>
      <c r="S44" s="210">
        <f>S30-S43</f>
        <v>0</v>
      </c>
      <c r="T44" s="211">
        <f>SUM(R44:S44)</f>
        <v>736030</v>
      </c>
      <c r="U44" s="109"/>
      <c r="V44" s="184" t="s">
        <v>125</v>
      </c>
      <c r="W44" s="184"/>
      <c r="X44" s="185"/>
      <c r="Y44" s="294">
        <f>T11</f>
        <v>2026</v>
      </c>
      <c r="Z44" s="183">
        <f>L13</f>
        <v>46500</v>
      </c>
      <c r="AB44" s="56"/>
      <c r="AE44" s="56"/>
      <c r="AF44" s="56"/>
      <c r="AG44" s="56"/>
    </row>
    <row r="45" spans="1:34" x14ac:dyDescent="0.2">
      <c r="F45" s="56"/>
      <c r="G45" s="158" t="s">
        <v>222</v>
      </c>
      <c r="H45" s="100">
        <f>H43-H44</f>
        <v>173855.02720000001</v>
      </c>
      <c r="I45" s="56"/>
      <c r="J45" s="109"/>
      <c r="K45" s="163" t="s">
        <v>223</v>
      </c>
      <c r="L45" s="164">
        <f>IF(K43=3,730,0)</f>
        <v>0</v>
      </c>
      <c r="M45" s="212"/>
      <c r="N45" s="295"/>
      <c r="O45" s="164" t="s">
        <v>224</v>
      </c>
      <c r="P45" s="198"/>
      <c r="Q45" s="199"/>
      <c r="R45" s="164">
        <f>SUM(R44:R44)</f>
        <v>736030</v>
      </c>
      <c r="S45" s="164">
        <f>SUM(S44:S44)</f>
        <v>0</v>
      </c>
      <c r="T45" s="164">
        <f>SUM(T44:T44)</f>
        <v>736030</v>
      </c>
      <c r="U45" s="109"/>
      <c r="V45" s="178" t="s">
        <v>225</v>
      </c>
      <c r="W45" s="178"/>
      <c r="X45" s="187"/>
      <c r="Y45" s="108"/>
      <c r="Z45" s="108"/>
      <c r="AD45" s="213"/>
      <c r="AG45" s="56"/>
    </row>
    <row r="46" spans="1:34" ht="13.5" customHeight="1" thickBot="1" x14ac:dyDescent="0.25">
      <c r="A46" s="56"/>
      <c r="B46" s="56"/>
      <c r="E46" s="56"/>
      <c r="F46" s="56"/>
      <c r="G46" s="56"/>
      <c r="H46" s="56"/>
      <c r="I46" s="56"/>
      <c r="J46" s="108"/>
      <c r="K46" s="199" t="s">
        <v>226</v>
      </c>
      <c r="L46" s="164">
        <f>IF(K43=4,1740,0)</f>
        <v>0</v>
      </c>
      <c r="M46" s="212"/>
      <c r="N46" s="295"/>
      <c r="O46" s="214" t="s">
        <v>227</v>
      </c>
      <c r="P46" s="215"/>
      <c r="Q46" s="216"/>
      <c r="R46" s="217"/>
      <c r="S46" s="218"/>
      <c r="T46" s="219">
        <f>-H45</f>
        <v>-173855.02720000001</v>
      </c>
      <c r="U46" s="109"/>
      <c r="V46" s="290" t="s">
        <v>160</v>
      </c>
      <c r="W46" s="179" t="s">
        <v>133</v>
      </c>
      <c r="X46" s="108"/>
      <c r="Y46" s="108"/>
      <c r="Z46" s="108"/>
      <c r="AB46" s="56"/>
      <c r="AC46" s="56"/>
      <c r="AD46" s="56"/>
      <c r="AE46" s="56"/>
      <c r="AF46" s="56"/>
      <c r="AG46" s="56"/>
    </row>
    <row r="47" spans="1:34" ht="13.5" customHeight="1" thickBot="1" x14ac:dyDescent="0.25">
      <c r="B47" s="102" t="s">
        <v>228</v>
      </c>
      <c r="C47" s="102"/>
      <c r="F47" s="102"/>
      <c r="G47" s="102" t="s">
        <v>229</v>
      </c>
      <c r="H47" s="135">
        <f>ROUND(H43/12,0)</f>
        <v>17158</v>
      </c>
      <c r="I47" s="56"/>
      <c r="J47" s="108"/>
      <c r="K47" s="199" t="s">
        <v>230</v>
      </c>
      <c r="L47" s="164">
        <f>IF(K43=5,2990,0)</f>
        <v>0</v>
      </c>
      <c r="M47" s="212"/>
      <c r="N47" s="295"/>
      <c r="O47" s="169" t="s">
        <v>231</v>
      </c>
      <c r="P47" s="162"/>
      <c r="Q47" s="163"/>
      <c r="R47" s="165"/>
      <c r="S47" s="165"/>
      <c r="T47" s="166">
        <f>M50</f>
        <v>0</v>
      </c>
      <c r="U47" s="109"/>
      <c r="V47" s="303">
        <f>IF(Q24&lt;V37,Y37,IF(AND(Q24&lt;V38,Q24&gt;V37),Y38,IF(AND(Q24&lt;V39,Q24&gt;V38),Y39,IF(AND(Q24&lt;V40,Q24&gt;V39),Y40,IF(Q24&gt;V41,Y41)))))</f>
        <v>0</v>
      </c>
      <c r="W47" s="303">
        <f>IF(R24&lt;V37,Z37,IF(AND(R24&lt;V38,R24&gt;V37),Z38,IF(AND(R24&lt;V39,R24&gt;V38),Z39,IF(AND(R24&lt;V40,R24&gt;V39),Z40,IF(R24&gt;V41,Z41)))))</f>
        <v>0</v>
      </c>
      <c r="X47" s="108">
        <v>0</v>
      </c>
      <c r="Y47" s="108"/>
      <c r="Z47" s="108"/>
      <c r="AB47" s="56"/>
      <c r="AC47" s="56"/>
      <c r="AD47" s="56"/>
      <c r="AE47" s="56"/>
      <c r="AF47" s="56"/>
      <c r="AG47" s="56"/>
    </row>
    <row r="48" spans="1:34" ht="18" customHeight="1" x14ac:dyDescent="0.25">
      <c r="A48" s="56"/>
      <c r="B48" s="56"/>
      <c r="E48" s="56"/>
      <c r="F48" s="56"/>
      <c r="G48" s="112" t="s">
        <v>232</v>
      </c>
      <c r="H48" s="220">
        <f>ROUND(H45/12,0)</f>
        <v>14488</v>
      </c>
      <c r="I48" s="221"/>
      <c r="J48" s="108"/>
      <c r="K48" s="199" t="s">
        <v>233</v>
      </c>
      <c r="L48" s="165">
        <f>IF(K43&gt;5,(2990+(K43-5)*1250),0)</f>
        <v>0</v>
      </c>
      <c r="M48" s="212"/>
      <c r="N48" s="295"/>
      <c r="O48" s="222" t="s">
        <v>234</v>
      </c>
      <c r="P48" s="223"/>
      <c r="Q48" s="223"/>
      <c r="R48" s="165"/>
      <c r="S48" s="165"/>
      <c r="T48" s="167">
        <f>F13</f>
        <v>0</v>
      </c>
      <c r="U48" s="109"/>
      <c r="V48" s="109"/>
      <c r="W48" s="109"/>
      <c r="X48" s="109"/>
      <c r="Y48" s="109"/>
      <c r="Z48" s="109"/>
    </row>
    <row r="49" spans="1:33" x14ac:dyDescent="0.2">
      <c r="B49" s="102" t="s">
        <v>235</v>
      </c>
      <c r="H49" s="224">
        <f>G35/12</f>
        <v>5174.4799999999996</v>
      </c>
      <c r="I49" s="225"/>
      <c r="J49" s="108"/>
      <c r="K49" s="226"/>
      <c r="L49" s="227"/>
      <c r="M49" s="212"/>
      <c r="N49" s="295"/>
      <c r="O49" s="172" t="s">
        <v>236</v>
      </c>
      <c r="P49" s="173"/>
      <c r="Q49" s="174"/>
      <c r="R49" s="196"/>
      <c r="S49" s="227"/>
      <c r="T49" s="197">
        <f>SUM(T45:T48)</f>
        <v>562174.97279999999</v>
      </c>
      <c r="U49" s="109"/>
      <c r="V49" s="109" t="s">
        <v>237</v>
      </c>
      <c r="W49" s="109"/>
      <c r="X49" s="109"/>
      <c r="Y49" s="109"/>
      <c r="Z49" s="109"/>
      <c r="AB49" s="56"/>
      <c r="AE49" s="56"/>
      <c r="AF49" s="56"/>
      <c r="AG49" s="56"/>
    </row>
    <row r="50" spans="1:33" ht="15.75" customHeight="1" x14ac:dyDescent="0.25">
      <c r="B50" s="112" t="s">
        <v>238</v>
      </c>
      <c r="E50" s="112"/>
      <c r="F50" s="112"/>
      <c r="G50" s="56"/>
      <c r="H50" s="228">
        <f>V50</f>
        <v>46847.914400000001</v>
      </c>
      <c r="I50" s="148"/>
      <c r="J50" s="108"/>
      <c r="K50" s="229"/>
      <c r="L50" s="230">
        <f>SUM(L43:L48)</f>
        <v>0</v>
      </c>
      <c r="M50" s="231">
        <f>L50*12</f>
        <v>0</v>
      </c>
      <c r="N50" s="295"/>
      <c r="O50" s="232" t="s">
        <v>239</v>
      </c>
      <c r="P50" s="194"/>
      <c r="Q50" s="233"/>
      <c r="R50" s="234"/>
      <c r="S50" s="234"/>
      <c r="T50" s="235">
        <f>T49/12</f>
        <v>46847.914400000001</v>
      </c>
      <c r="U50" s="109"/>
      <c r="V50" s="281">
        <f>IF(T50&lt;1,0,T50)</f>
        <v>46847.914400000001</v>
      </c>
      <c r="W50" s="109"/>
      <c r="X50" s="109"/>
      <c r="Y50" s="109"/>
      <c r="Z50" s="109"/>
      <c r="AB50" s="56"/>
      <c r="AC50" s="56"/>
      <c r="AD50" s="56"/>
      <c r="AE50" s="56"/>
      <c r="AG50" s="56"/>
    </row>
    <row r="51" spans="1:33" x14ac:dyDescent="0.2">
      <c r="G51" s="56"/>
      <c r="H51" s="56"/>
      <c r="I51" s="56"/>
      <c r="J51" s="108"/>
      <c r="K51" s="109"/>
      <c r="L51" s="109"/>
      <c r="M51" s="109"/>
      <c r="N51" s="295"/>
      <c r="O51" s="298" t="s">
        <v>240</v>
      </c>
      <c r="P51" s="299"/>
      <c r="Q51" s="300"/>
      <c r="R51" s="301">
        <f>R43/12</f>
        <v>5330.833333333333</v>
      </c>
      <c r="S51" s="301">
        <f>S43/12</f>
        <v>0</v>
      </c>
      <c r="T51" s="302"/>
      <c r="U51" s="109"/>
      <c r="V51" s="109"/>
      <c r="W51" s="109"/>
      <c r="X51" s="109"/>
      <c r="Y51" s="109"/>
      <c r="Z51" s="109"/>
      <c r="AB51" s="56"/>
      <c r="AC51" s="56"/>
      <c r="AD51" s="56"/>
    </row>
    <row r="52" spans="1:33" x14ac:dyDescent="0.2">
      <c r="A52" s="13" t="s">
        <v>241</v>
      </c>
      <c r="B52" s="31" t="s">
        <v>242</v>
      </c>
      <c r="G52" s="56"/>
      <c r="H52" s="56"/>
      <c r="I52" s="56"/>
      <c r="J52" s="108"/>
      <c r="K52" s="108"/>
      <c r="L52" s="109"/>
      <c r="M52" s="109"/>
      <c r="N52" s="109"/>
      <c r="O52" s="109"/>
      <c r="P52" s="109"/>
      <c r="Q52" s="109"/>
      <c r="R52" s="108"/>
      <c r="S52" s="108"/>
      <c r="T52" s="109"/>
      <c r="U52" s="109"/>
      <c r="V52" s="109"/>
      <c r="W52" s="109"/>
      <c r="X52" s="109"/>
      <c r="Y52" s="109"/>
      <c r="Z52" s="109"/>
      <c r="AG52" s="56"/>
    </row>
    <row r="53" spans="1:33" x14ac:dyDescent="0.2">
      <c r="A53" t="s">
        <v>20</v>
      </c>
      <c r="B53" s="31"/>
      <c r="D53" s="56"/>
      <c r="E53" s="56"/>
      <c r="F53" s="56"/>
      <c r="G53" s="56"/>
      <c r="I53" s="56"/>
      <c r="J53" s="56"/>
      <c r="K53" s="56"/>
      <c r="R53" s="56"/>
      <c r="S53" s="56"/>
      <c r="AB53" s="56"/>
      <c r="AC53" s="56"/>
      <c r="AD53" s="56"/>
      <c r="AE53" s="56"/>
      <c r="AG53" s="56"/>
    </row>
    <row r="54" spans="1:33" x14ac:dyDescent="0.2">
      <c r="B54" s="31"/>
      <c r="D54" s="56"/>
      <c r="E54" s="56"/>
      <c r="F54" s="56"/>
      <c r="I54" s="56"/>
      <c r="R54" s="56"/>
      <c r="S54" s="56"/>
      <c r="AB54" s="56"/>
      <c r="AC54" s="56"/>
      <c r="AD54" s="56"/>
      <c r="AE54" s="56"/>
      <c r="AF54" s="56"/>
      <c r="AG54" s="56"/>
    </row>
    <row r="55" spans="1:33" x14ac:dyDescent="0.2">
      <c r="B55" s="31"/>
      <c r="D55" s="56"/>
      <c r="E55" s="56"/>
      <c r="F55" s="56"/>
      <c r="G55" s="236"/>
      <c r="I55" s="56"/>
      <c r="J55" s="131"/>
      <c r="L55" s="250"/>
      <c r="S55" s="56"/>
      <c r="T55" s="56"/>
      <c r="U55" s="56"/>
      <c r="V55" s="56"/>
      <c r="W55" s="56"/>
      <c r="AB55" s="56"/>
      <c r="AC55" s="56"/>
      <c r="AE55" s="56"/>
      <c r="AF55" s="56"/>
    </row>
    <row r="56" spans="1:33" ht="15" customHeight="1" x14ac:dyDescent="0.25">
      <c r="B56" s="263"/>
      <c r="N56" s="56"/>
      <c r="O56" s="56"/>
      <c r="P56" s="56"/>
      <c r="Q56" s="56"/>
      <c r="R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</row>
    <row r="57" spans="1:33" ht="15" customHeight="1" x14ac:dyDescent="0.25">
      <c r="B57" s="263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</row>
    <row r="58" spans="1:33" x14ac:dyDescent="0.2">
      <c r="A58" s="101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</row>
    <row r="59" spans="1:33" x14ac:dyDescent="0.2">
      <c r="H59" s="237"/>
      <c r="I59" s="237"/>
      <c r="N59" s="56"/>
      <c r="O59" s="56"/>
      <c r="P59" s="56"/>
      <c r="Q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</row>
    <row r="60" spans="1:33" x14ac:dyDescent="0.2">
      <c r="M60" s="56"/>
      <c r="N60" s="56"/>
      <c r="O60" s="56"/>
      <c r="P60" s="56"/>
      <c r="Q60" s="56"/>
      <c r="S60" s="56"/>
      <c r="T60" s="56"/>
      <c r="U60" s="56"/>
      <c r="V60" s="56"/>
      <c r="W60" s="56"/>
      <c r="AA60" s="56"/>
      <c r="AB60" s="56"/>
      <c r="AC60" s="56"/>
      <c r="AD60" s="56"/>
      <c r="AE60" s="56"/>
      <c r="AF60" s="56"/>
    </row>
    <row r="61" spans="1:33" hidden="1" x14ac:dyDescent="0.2">
      <c r="N61" s="56"/>
      <c r="O61" s="56"/>
      <c r="P61" s="56"/>
      <c r="Q61" s="56"/>
    </row>
    <row r="62" spans="1:33" hidden="1" x14ac:dyDescent="0.2">
      <c r="A62" s="56"/>
      <c r="B62" s="56"/>
      <c r="C62" s="56"/>
      <c r="D62" s="56"/>
      <c r="E62" s="56"/>
      <c r="F62" s="56"/>
      <c r="G62" s="56"/>
      <c r="N62" s="56"/>
      <c r="O62" s="56"/>
      <c r="P62" s="56"/>
      <c r="Q62" s="56"/>
    </row>
    <row r="63" spans="1:33" hidden="1" x14ac:dyDescent="0.2">
      <c r="A63" s="56"/>
      <c r="B63" s="56"/>
      <c r="C63" s="56"/>
      <c r="D63" s="56"/>
      <c r="E63" s="56"/>
      <c r="F63" s="56"/>
      <c r="H63" s="56"/>
      <c r="I63" s="56"/>
      <c r="N63" s="56"/>
      <c r="O63" s="56"/>
      <c r="P63" s="56"/>
      <c r="Q63" s="56"/>
    </row>
    <row r="64" spans="1:33" hidden="1" x14ac:dyDescent="0.2">
      <c r="G64" s="238" t="s">
        <v>4</v>
      </c>
      <c r="H64" s="113">
        <f ca="1">NOW()</f>
        <v>46167.418246180554</v>
      </c>
      <c r="I64" s="113"/>
      <c r="N64" s="56"/>
      <c r="O64" s="56"/>
      <c r="P64" s="56"/>
      <c r="Q64" s="56"/>
    </row>
    <row r="65" spans="1:17" hidden="1" x14ac:dyDescent="0.2">
      <c r="N65" s="56"/>
      <c r="O65" s="56"/>
      <c r="P65" s="56"/>
      <c r="Q65" s="56"/>
    </row>
    <row r="66" spans="1:17" hidden="1" x14ac:dyDescent="0.2">
      <c r="N66" s="56"/>
      <c r="O66" s="56"/>
      <c r="P66" s="56"/>
      <c r="Q66" s="56"/>
    </row>
    <row r="67" spans="1:17" hidden="1" x14ac:dyDescent="0.2">
      <c r="N67" s="56"/>
      <c r="O67" s="56"/>
      <c r="P67" s="56"/>
      <c r="Q67" s="56"/>
    </row>
    <row r="68" spans="1:17" hidden="1" x14ac:dyDescent="0.2">
      <c r="N68" s="56"/>
      <c r="O68" s="56"/>
      <c r="P68" s="56"/>
      <c r="Q68" s="56"/>
    </row>
    <row r="69" spans="1:17" hidden="1" x14ac:dyDescent="0.2">
      <c r="G69" s="56"/>
      <c r="N69" s="56"/>
      <c r="O69" s="56"/>
      <c r="P69" s="56"/>
      <c r="Q69" s="56"/>
    </row>
    <row r="70" spans="1:17" ht="18" hidden="1" customHeight="1" x14ac:dyDescent="0.25">
      <c r="A70" s="110" t="s">
        <v>243</v>
      </c>
      <c r="B70" s="56"/>
      <c r="C70" s="56"/>
      <c r="D70" s="56"/>
      <c r="E70" s="56"/>
      <c r="F70" s="56"/>
      <c r="G70" s="56"/>
      <c r="H70" s="56"/>
      <c r="I70" s="56"/>
      <c r="N70" s="56"/>
      <c r="O70" s="56"/>
      <c r="P70" s="56"/>
      <c r="Q70" s="56"/>
    </row>
    <row r="71" spans="1:17" hidden="1" x14ac:dyDescent="0.2">
      <c r="A71" s="56"/>
      <c r="B71" s="56"/>
      <c r="C71" s="56"/>
      <c r="D71" s="56"/>
      <c r="E71" s="56"/>
      <c r="F71" s="56"/>
      <c r="H71" s="56"/>
      <c r="I71" s="56"/>
      <c r="N71" s="56"/>
      <c r="O71" s="56"/>
      <c r="P71" s="56"/>
      <c r="Q71" s="56"/>
    </row>
    <row r="72" spans="1:17" hidden="1" x14ac:dyDescent="0.2">
      <c r="A72" s="118" t="s">
        <v>244</v>
      </c>
      <c r="B72" s="56">
        <f>A11</f>
        <v>0</v>
      </c>
      <c r="C72" s="56"/>
      <c r="D72" s="56" t="s">
        <v>245</v>
      </c>
      <c r="E72" s="56" t="str">
        <f>A16</f>
        <v>Havstenshult, Tomt nr. 11</v>
      </c>
      <c r="F72" s="56"/>
      <c r="G72" s="118" t="s">
        <v>246</v>
      </c>
      <c r="H72" s="100">
        <f>D18</f>
        <v>2026</v>
      </c>
      <c r="I72" s="56"/>
    </row>
    <row r="73" spans="1:17" hidden="1" x14ac:dyDescent="0.2">
      <c r="A73" s="118" t="s">
        <v>247</v>
      </c>
      <c r="B73" s="56">
        <f>A13</f>
        <v>0</v>
      </c>
      <c r="C73" s="56"/>
      <c r="D73" s="56" t="s">
        <v>248</v>
      </c>
      <c r="E73" s="56" t="str">
        <f>D16</f>
        <v>Mullsjö</v>
      </c>
      <c r="F73" s="56"/>
      <c r="G73" s="118" t="s">
        <v>249</v>
      </c>
      <c r="H73" s="100">
        <f>E18</f>
        <v>0</v>
      </c>
      <c r="I73" s="56"/>
    </row>
    <row r="74" spans="1:17" hidden="1" x14ac:dyDescent="0.2">
      <c r="A74" s="118" t="s">
        <v>250</v>
      </c>
      <c r="B74" s="56" t="str">
        <f>G11</f>
        <v>Erica Bernardin</v>
      </c>
      <c r="C74" s="56"/>
      <c r="D74" s="56"/>
      <c r="E74" s="56"/>
      <c r="F74" s="56"/>
      <c r="G74" s="118"/>
      <c r="H74" s="239"/>
      <c r="I74" s="239"/>
    </row>
    <row r="75" spans="1:17" hidden="1" x14ac:dyDescent="0.2">
      <c r="A75" s="56"/>
      <c r="B75" s="56"/>
      <c r="C75" s="56"/>
      <c r="D75" s="56" t="s">
        <v>251</v>
      </c>
      <c r="E75" s="56"/>
      <c r="F75" s="240">
        <f>ROUND(0.75*H23,-4)</f>
        <v>2600000</v>
      </c>
      <c r="G75" s="118"/>
      <c r="H75" s="239"/>
      <c r="I75" s="239"/>
    </row>
    <row r="76" spans="1:17" hidden="1" x14ac:dyDescent="0.2">
      <c r="C76" s="56"/>
      <c r="D76" s="56"/>
      <c r="E76" s="56"/>
      <c r="F76" s="56"/>
      <c r="G76" s="56"/>
      <c r="H76" s="56"/>
      <c r="I76" s="56"/>
    </row>
    <row r="77" spans="1:17" hidden="1" x14ac:dyDescent="0.2">
      <c r="A77" s="13" t="s">
        <v>252</v>
      </c>
      <c r="B77" s="56" t="str">
        <f>F16</f>
        <v>Villa Smedby</v>
      </c>
      <c r="C77" s="56"/>
      <c r="D77" s="56" t="s">
        <v>253</v>
      </c>
      <c r="E77" s="56"/>
      <c r="F77" s="56"/>
      <c r="G77" s="56"/>
      <c r="H77" s="56"/>
      <c r="I77" s="56"/>
    </row>
    <row r="78" spans="1:17" hidden="1" x14ac:dyDescent="0.2">
      <c r="A78" s="13" t="s">
        <v>254</v>
      </c>
      <c r="B78" s="56">
        <f>F18</f>
        <v>0</v>
      </c>
      <c r="C78" s="56"/>
      <c r="D78" s="56" t="s">
        <v>255</v>
      </c>
      <c r="E78" s="56"/>
      <c r="F78" s="56"/>
      <c r="H78" s="56"/>
      <c r="I78" s="56"/>
    </row>
    <row r="79" spans="1:17" hidden="1" x14ac:dyDescent="0.2">
      <c r="A79" s="13" t="s">
        <v>256</v>
      </c>
      <c r="B79" s="241" t="e">
        <f>H20/C18</f>
        <v>#DIV/0!</v>
      </c>
    </row>
    <row r="80" spans="1:17" hidden="1" x14ac:dyDescent="0.2">
      <c r="A80" t="s">
        <v>257</v>
      </c>
      <c r="D80" t="s">
        <v>258</v>
      </c>
    </row>
    <row r="81" spans="1:30" hidden="1" x14ac:dyDescent="0.2">
      <c r="G81" s="56"/>
    </row>
    <row r="82" spans="1:30" ht="20.25" hidden="1" customHeight="1" x14ac:dyDescent="0.3">
      <c r="A82" s="242" t="s">
        <v>259</v>
      </c>
      <c r="B82" s="95"/>
      <c r="C82" s="95"/>
      <c r="D82" s="95"/>
      <c r="E82" s="56"/>
      <c r="F82" s="56"/>
      <c r="H82" s="56"/>
      <c r="I82" s="56"/>
    </row>
    <row r="83" spans="1:30" hidden="1" x14ac:dyDescent="0.2"/>
    <row r="84" spans="1:30" hidden="1" x14ac:dyDescent="0.2">
      <c r="A84" s="243"/>
      <c r="B84" s="134">
        <f>D18</f>
        <v>2026</v>
      </c>
      <c r="C84" s="134">
        <f>B84+1</f>
        <v>2027</v>
      </c>
      <c r="D84" s="134">
        <f>C84+1</f>
        <v>2028</v>
      </c>
      <c r="E84" s="134">
        <f>D84+1</f>
        <v>2029</v>
      </c>
      <c r="F84" s="134">
        <f>E84+1</f>
        <v>2030</v>
      </c>
      <c r="G84" s="244">
        <f>F84+1</f>
        <v>2031</v>
      </c>
      <c r="H84" s="245"/>
      <c r="I84" s="245"/>
    </row>
    <row r="85" spans="1:30" hidden="1" x14ac:dyDescent="0.2">
      <c r="A85" s="84" t="s">
        <v>260</v>
      </c>
      <c r="B85" s="246">
        <f>G35</f>
        <v>62093.759999999995</v>
      </c>
      <c r="C85" s="246">
        <f>B85</f>
        <v>62093.759999999995</v>
      </c>
      <c r="D85" s="246">
        <f>C85</f>
        <v>62093.759999999995</v>
      </c>
      <c r="E85" s="246">
        <f>D85</f>
        <v>62093.759999999995</v>
      </c>
      <c r="F85" s="246">
        <f>E85</f>
        <v>62093.759999999995</v>
      </c>
      <c r="G85" s="100">
        <f>F85</f>
        <v>62093.759999999995</v>
      </c>
      <c r="H85" s="103"/>
      <c r="I85" s="103"/>
    </row>
    <row r="86" spans="1:30" hidden="1" x14ac:dyDescent="0.2">
      <c r="A86" s="84" t="s">
        <v>261</v>
      </c>
      <c r="B86" s="246">
        <f>F35</f>
        <v>106801.2672</v>
      </c>
      <c r="C86" s="246" t="e">
        <f>($E$29-$G$29)*$C$23/100+($E$30-$G$30)*#REF!/100+(#REF!-#REF!)*$C$24/100+(#REF!-#REF!)*$C$26/100+($E$31-$G$31)*$C$23/100+($E$32-$G$32)*$C$24/100+($E$33-$G$33)*$C$26/100</f>
        <v>#REF!</v>
      </c>
      <c r="D86" s="246" t="e">
        <f>($E$29-2*$G$29)*$C$23/100+($E$30-2*$G$30)*#REF!/100+(#REF!-2*#REF!)*$C$24/100+(#REF!-2*#REF!)*$C$26/100+($E$31-2*$G$31)*$C$23/100+($E$32-2*$G$32)*$C$24/100+($E$33-2*$G$33)*$C$26/100</f>
        <v>#REF!</v>
      </c>
      <c r="E86" s="246" t="e">
        <f>($E$29-3*$G$29)*$C$23/100+($E$30-3*$G$30)*#REF!/100+(#REF!-3*#REF!)*$C$24/100+(#REF!-3*#REF!)*$C$26/100+($E$31-3*$G$31)*$C$23/100+($E$32-3*$G$32)*$C$24/100+($E$33-3*$G$33)*$C$26/100</f>
        <v>#REF!</v>
      </c>
      <c r="F86" s="246" t="e">
        <f>($E$29-4*$G$29)*$C$23/100+($E$30-4*$G$30)*#REF!/100+(#REF!-4*#REF!)*$C$24/100+(#REF!-4*#REF!)*$C$26/100+($E$31-4*$G$31)*$C$23/100+($E$32-4*$G$32)*$C$24/100+($E$33-4*$G$33)*$C$26/100</f>
        <v>#REF!</v>
      </c>
      <c r="G86" s="246" t="e">
        <f>($E$29-5*$G$29)*$C$23/100+($E$30-5*$G$30)*#REF!/100+(#REF!-5*#REF!)*$C$24/100+(#REF!-5*#REF!)*$C$26/100+($E$31-5*$G$31)*$C$23/100+($E$32-5*$G$32)*$C$24/100+($E$33-5*$G$33)*$C$26/100</f>
        <v>#REF!</v>
      </c>
      <c r="H86" s="103"/>
      <c r="I86" s="103"/>
    </row>
    <row r="87" spans="1:30" hidden="1" x14ac:dyDescent="0.2">
      <c r="A87" s="84"/>
      <c r="B87" s="246"/>
      <c r="C87" s="246"/>
      <c r="D87" s="246"/>
      <c r="E87" s="246"/>
      <c r="F87" s="246"/>
      <c r="G87" s="100"/>
      <c r="H87" s="103"/>
      <c r="I87" s="103"/>
    </row>
    <row r="88" spans="1:30" hidden="1" x14ac:dyDescent="0.2">
      <c r="A88" s="84" t="s">
        <v>262</v>
      </c>
      <c r="B88" s="246">
        <f>H40</f>
        <v>37000</v>
      </c>
      <c r="C88" s="246">
        <f>B88*D97/100+B88</f>
        <v>38480</v>
      </c>
      <c r="D88" s="246">
        <f>(1+D97/100)*C88</f>
        <v>40019.200000000004</v>
      </c>
      <c r="E88" s="246">
        <f>(1+D97/100)*D88</f>
        <v>41619.968000000008</v>
      </c>
      <c r="F88" s="246">
        <f>(1+D97/100)*E88</f>
        <v>43284.766720000007</v>
      </c>
      <c r="G88" s="100">
        <f>(1+D97/100)*F88</f>
        <v>45016.157388800006</v>
      </c>
      <c r="H88" s="103"/>
      <c r="I88" s="103"/>
      <c r="K88" t="s">
        <v>263</v>
      </c>
      <c r="L88" t="s">
        <v>264</v>
      </c>
      <c r="M88" s="239">
        <f>D96</f>
        <v>3</v>
      </c>
    </row>
    <row r="89" spans="1:30" hidden="1" x14ac:dyDescent="0.2">
      <c r="A89" s="84" t="s">
        <v>265</v>
      </c>
      <c r="B89" s="246">
        <v>0</v>
      </c>
      <c r="C89" s="246">
        <v>0</v>
      </c>
      <c r="D89" s="246">
        <v>0</v>
      </c>
      <c r="E89" s="246">
        <v>0</v>
      </c>
      <c r="F89" s="246">
        <v>0</v>
      </c>
      <c r="G89" s="127">
        <f>F75*0.5*0.015</f>
        <v>19500</v>
      </c>
      <c r="H89" s="103"/>
      <c r="I89" s="103"/>
      <c r="M89" s="239"/>
    </row>
    <row r="90" spans="1:30" hidden="1" x14ac:dyDescent="0.2">
      <c r="A90" s="115" t="s">
        <v>266</v>
      </c>
      <c r="B90" s="246">
        <f t="shared" ref="B90:G90" si="2">-(B86+B87)*0.3</f>
        <v>-32040.380160000001</v>
      </c>
      <c r="C90" s="246" t="e">
        <f t="shared" si="2"/>
        <v>#REF!</v>
      </c>
      <c r="D90" s="246" t="e">
        <f t="shared" si="2"/>
        <v>#REF!</v>
      </c>
      <c r="E90" s="246" t="e">
        <f t="shared" si="2"/>
        <v>#REF!</v>
      </c>
      <c r="F90" s="246" t="e">
        <f t="shared" si="2"/>
        <v>#REF!</v>
      </c>
      <c r="G90" s="100" t="e">
        <f t="shared" si="2"/>
        <v>#REF!</v>
      </c>
      <c r="H90" s="103"/>
      <c r="I90" s="103"/>
      <c r="J90" s="247" t="s">
        <v>267</v>
      </c>
      <c r="K90" s="56">
        <f>D11+D13</f>
        <v>800000</v>
      </c>
    </row>
    <row r="91" spans="1:30" hidden="1" x14ac:dyDescent="0.2">
      <c r="A91" s="115" t="s">
        <v>268</v>
      </c>
      <c r="B91" s="246">
        <f t="shared" ref="B91:G91" si="3">SUM(B85:B90)</f>
        <v>173854.64704000001</v>
      </c>
      <c r="C91" s="246" t="e">
        <f t="shared" si="3"/>
        <v>#REF!</v>
      </c>
      <c r="D91" s="246" t="e">
        <f t="shared" si="3"/>
        <v>#REF!</v>
      </c>
      <c r="E91" s="246" t="e">
        <f t="shared" si="3"/>
        <v>#REF!</v>
      </c>
      <c r="F91" s="246" t="e">
        <f t="shared" si="3"/>
        <v>#REF!</v>
      </c>
      <c r="G91" s="100" t="e">
        <f t="shared" si="3"/>
        <v>#REF!</v>
      </c>
      <c r="H91" s="103"/>
      <c r="I91" s="103"/>
      <c r="J91">
        <v>2</v>
      </c>
      <c r="K91">
        <f>K90*(1+$M$88/100)</f>
        <v>824000</v>
      </c>
      <c r="AD91" s="56"/>
    </row>
    <row r="92" spans="1:30" hidden="1" x14ac:dyDescent="0.2">
      <c r="A92" s="115" t="s">
        <v>269</v>
      </c>
      <c r="B92" s="246">
        <f t="shared" ref="B92:G92" si="4">B91/12</f>
        <v>14487.887253333334</v>
      </c>
      <c r="C92" s="246" t="e">
        <f t="shared" si="4"/>
        <v>#REF!</v>
      </c>
      <c r="D92" s="246" t="e">
        <f t="shared" si="4"/>
        <v>#REF!</v>
      </c>
      <c r="E92" s="246" t="e">
        <f t="shared" si="4"/>
        <v>#REF!</v>
      </c>
      <c r="F92" s="246" t="e">
        <f t="shared" si="4"/>
        <v>#REF!</v>
      </c>
      <c r="G92" s="100" t="e">
        <f t="shared" si="4"/>
        <v>#REF!</v>
      </c>
      <c r="H92" s="103"/>
      <c r="I92" s="103"/>
      <c r="J92">
        <v>3</v>
      </c>
      <c r="K92">
        <f>K91*(1+$M$88/100)</f>
        <v>848720</v>
      </c>
    </row>
    <row r="93" spans="1:30" hidden="1" x14ac:dyDescent="0.2">
      <c r="A93" s="189" t="s">
        <v>270</v>
      </c>
      <c r="B93" s="248">
        <v>0</v>
      </c>
      <c r="C93" s="248" t="e">
        <f>-B92+C92</f>
        <v>#REF!</v>
      </c>
      <c r="D93" s="248" t="e">
        <f>-C92+D92</f>
        <v>#REF!</v>
      </c>
      <c r="E93" s="248" t="e">
        <f>-D92+E92</f>
        <v>#REF!</v>
      </c>
      <c r="F93" s="248" t="e">
        <f>-E92+F92</f>
        <v>#REF!</v>
      </c>
      <c r="G93" s="249" t="e">
        <f>-F92+G92</f>
        <v>#REF!</v>
      </c>
      <c r="H93" s="103"/>
      <c r="I93" s="103"/>
      <c r="J93">
        <v>4</v>
      </c>
      <c r="K93">
        <f>K92*(1+$M$88/100)</f>
        <v>874181.6</v>
      </c>
    </row>
    <row r="94" spans="1:30" hidden="1" x14ac:dyDescent="0.2">
      <c r="A94" s="158" t="s">
        <v>271</v>
      </c>
      <c r="B94" s="177">
        <f>B91/K90*100</f>
        <v>21.731830880000004</v>
      </c>
      <c r="C94" s="177" t="e">
        <f>C91/K91*100</f>
        <v>#REF!</v>
      </c>
      <c r="D94" s="177" t="e">
        <f>D91/K92*100</f>
        <v>#REF!</v>
      </c>
      <c r="E94" s="177" t="e">
        <f>E91/K93*100</f>
        <v>#REF!</v>
      </c>
      <c r="F94" s="177" t="e">
        <f>F91/K94*100</f>
        <v>#REF!</v>
      </c>
      <c r="G94" s="100" t="e">
        <f>G91/K94*100</f>
        <v>#REF!</v>
      </c>
      <c r="H94" s="103"/>
      <c r="I94" s="103"/>
      <c r="J94">
        <v>5</v>
      </c>
      <c r="K94" s="56">
        <f>K93*(1+$M$88/100)</f>
        <v>900407.04799999995</v>
      </c>
    </row>
    <row r="95" spans="1:30" hidden="1" x14ac:dyDescent="0.2">
      <c r="A95" s="56"/>
      <c r="B95" s="56"/>
      <c r="C95" s="56"/>
      <c r="D95" s="56"/>
      <c r="E95" s="56"/>
      <c r="F95" s="56"/>
      <c r="G95" s="56"/>
    </row>
    <row r="96" spans="1:30" hidden="1" x14ac:dyDescent="0.2">
      <c r="A96" s="250" t="s">
        <v>272</v>
      </c>
      <c r="C96" s="56"/>
      <c r="D96" s="251">
        <v>3</v>
      </c>
      <c r="E96" s="56"/>
      <c r="F96" s="56"/>
      <c r="G96" s="56"/>
      <c r="H96" s="56"/>
      <c r="I96" s="56"/>
    </row>
    <row r="97" spans="1:9" hidden="1" x14ac:dyDescent="0.2">
      <c r="A97" s="250" t="s">
        <v>273</v>
      </c>
      <c r="C97" s="56"/>
      <c r="D97" s="251">
        <v>4</v>
      </c>
      <c r="F97" s="56"/>
      <c r="G97" s="56"/>
      <c r="H97" s="56"/>
      <c r="I97" s="56"/>
    </row>
    <row r="98" spans="1:9" hidden="1" x14ac:dyDescent="0.2">
      <c r="A98" s="56"/>
      <c r="B98" s="56"/>
      <c r="C98" s="56"/>
      <c r="D98" s="56"/>
      <c r="E98" s="56"/>
      <c r="F98" s="56"/>
      <c r="G98" s="56"/>
      <c r="H98" s="56"/>
      <c r="I98" s="56"/>
    </row>
    <row r="99" spans="1:9" hidden="1" x14ac:dyDescent="0.2">
      <c r="A99" s="56" t="s">
        <v>274</v>
      </c>
      <c r="B99" s="56"/>
      <c r="C99" s="56"/>
      <c r="D99" s="56"/>
      <c r="E99" s="56"/>
      <c r="F99" s="56"/>
      <c r="G99" s="56"/>
      <c r="H99" s="56"/>
      <c r="I99" s="56"/>
    </row>
    <row r="100" spans="1:9" hidden="1" x14ac:dyDescent="0.2">
      <c r="A100" s="56" t="s">
        <v>275</v>
      </c>
      <c r="B100" s="56"/>
      <c r="C100" s="56"/>
      <c r="D100" s="56"/>
      <c r="E100" s="56"/>
      <c r="F100" s="56"/>
      <c r="G100" s="56"/>
      <c r="H100" s="56"/>
      <c r="I100" s="56"/>
    </row>
    <row r="101" spans="1:9" hidden="1" x14ac:dyDescent="0.2">
      <c r="A101" s="56" t="s">
        <v>276</v>
      </c>
      <c r="B101" s="56"/>
      <c r="C101" s="56"/>
      <c r="D101" s="56"/>
      <c r="E101" s="56"/>
      <c r="F101" s="56"/>
      <c r="H101" s="56"/>
      <c r="I101" s="56"/>
    </row>
    <row r="102" spans="1:9" hidden="1" x14ac:dyDescent="0.2">
      <c r="A102" s="252">
        <f>A58</f>
        <v>0</v>
      </c>
      <c r="H102" s="237"/>
      <c r="I102" s="237"/>
    </row>
    <row r="104" spans="1:9" x14ac:dyDescent="0.2">
      <c r="G104" s="56"/>
    </row>
    <row r="105" spans="1:9" x14ac:dyDescent="0.2">
      <c r="A105" s="56"/>
      <c r="B105" s="56"/>
      <c r="C105" s="56"/>
      <c r="D105" s="56"/>
      <c r="E105" s="56"/>
      <c r="F105" s="56"/>
      <c r="G105" s="56"/>
      <c r="H105" s="56"/>
      <c r="I105" s="56"/>
    </row>
    <row r="106" spans="1:9" x14ac:dyDescent="0.2">
      <c r="A106" s="56"/>
      <c r="B106" s="56"/>
      <c r="C106" s="56"/>
      <c r="D106" s="56"/>
      <c r="E106" s="56"/>
      <c r="F106" s="56"/>
      <c r="G106" s="56"/>
      <c r="H106" s="56"/>
      <c r="I106" s="56"/>
    </row>
    <row r="107" spans="1:9" x14ac:dyDescent="0.2">
      <c r="A107" s="56"/>
      <c r="B107" s="56"/>
      <c r="C107" s="56"/>
      <c r="D107" s="56"/>
      <c r="E107" s="56"/>
      <c r="F107" s="56"/>
      <c r="G107" s="56"/>
      <c r="H107" s="56"/>
      <c r="I107" s="56"/>
    </row>
  </sheetData>
  <sheetProtection algorithmName="SHA-512" hashValue="9Ir0hf1oHOXPMr6DvlVW6w4o/ijn9sCGikO5Lm0p8Ue7oOfyQROajtijkcnAweAvrxUQJjEUi11emR35Gv/5Lg==" saltValue="I6L3rlr0zVbzEx95eo8D5w==" spinCount="100000" sheet="1"/>
  <pageMargins left="1" right="0.1701388888888889" top="0.50972222222222219" bottom="0.52013888888888893" header="0.51180555555555551" footer="0.51180555555555551"/>
  <pageSetup paperSize="9" firstPageNumber="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51"/>
  <sheetViews>
    <sheetView showGridLines="0" showZeros="0" topLeftCell="A5" workbookViewId="0">
      <selection activeCell="L26" sqref="L26"/>
    </sheetView>
  </sheetViews>
  <sheetFormatPr defaultRowHeight="12.75" x14ac:dyDescent="0.2"/>
  <cols>
    <col min="1" max="1" width="12.28515625" customWidth="1"/>
    <col min="3" max="3" width="6.28515625" customWidth="1"/>
    <col min="4" max="4" width="8.5703125" customWidth="1"/>
    <col min="5" max="5" width="9.85546875" customWidth="1"/>
    <col min="6" max="6" width="10.28515625" customWidth="1"/>
    <col min="7" max="7" width="12" bestFit="1" customWidth="1"/>
    <col min="8" max="8" width="8.5703125" customWidth="1"/>
    <col min="9" max="9" width="12.7109375" customWidth="1"/>
  </cols>
  <sheetData>
    <row r="2" spans="1:10" ht="23.25" customHeight="1" x14ac:dyDescent="0.35">
      <c r="E2" s="253"/>
    </row>
    <row r="3" spans="1:10" ht="15.75" customHeight="1" x14ac:dyDescent="0.35">
      <c r="E3" s="253"/>
    </row>
    <row r="4" spans="1:10" ht="23.25" customHeight="1" x14ac:dyDescent="0.35">
      <c r="A4" s="253" t="s">
        <v>277</v>
      </c>
      <c r="C4" s="253"/>
      <c r="E4" s="253"/>
      <c r="I4" s="462">
        <f>Produktionskostnadskalkyl!F4</f>
        <v>46166</v>
      </c>
      <c r="J4" s="236"/>
    </row>
    <row r="5" spans="1:10" ht="23.25" customHeight="1" x14ac:dyDescent="0.35">
      <c r="E5" s="253"/>
    </row>
    <row r="6" spans="1:10" x14ac:dyDescent="0.2">
      <c r="A6" s="71" t="s">
        <v>3</v>
      </c>
      <c r="B6" s="73"/>
      <c r="C6" s="73"/>
      <c r="D6" s="254"/>
      <c r="E6" s="75"/>
      <c r="F6" s="83" t="s">
        <v>278</v>
      </c>
      <c r="G6" s="254"/>
      <c r="H6" s="254"/>
      <c r="I6" s="125"/>
    </row>
    <row r="7" spans="1:10" x14ac:dyDescent="0.2">
      <c r="A7" s="77">
        <f>Produktionskostnadskalkyl!C4</f>
        <v>0</v>
      </c>
      <c r="E7" s="78"/>
      <c r="F7" s="56" t="str">
        <f>Produktionskostnadskalkyl!G4</f>
        <v>Havstenshult, Tomt nr. 11</v>
      </c>
      <c r="I7" s="255"/>
    </row>
    <row r="8" spans="1:10" x14ac:dyDescent="0.2">
      <c r="A8" s="453">
        <f>Produktionskostnadskalkyl!C5</f>
        <v>0</v>
      </c>
      <c r="B8" s="80"/>
      <c r="C8" s="80"/>
      <c r="D8" s="80" t="s">
        <v>20</v>
      </c>
      <c r="E8" s="81"/>
      <c r="F8" s="80" t="str">
        <f>Bokalkyl!D16</f>
        <v>Mullsjö</v>
      </c>
      <c r="G8" s="119"/>
      <c r="H8" s="119"/>
      <c r="I8" s="81"/>
    </row>
    <row r="9" spans="1:10" x14ac:dyDescent="0.2">
      <c r="A9" s="7" t="s">
        <v>2</v>
      </c>
      <c r="E9" s="255"/>
      <c r="F9" s="114" t="s">
        <v>6</v>
      </c>
      <c r="G9" s="254"/>
      <c r="H9" s="254"/>
      <c r="I9" s="125"/>
    </row>
    <row r="10" spans="1:10" x14ac:dyDescent="0.2">
      <c r="A10" s="453"/>
      <c r="B10" s="119"/>
      <c r="C10" s="119"/>
      <c r="D10" s="119"/>
      <c r="E10" s="81"/>
      <c r="F10" s="459" t="str">
        <f>Bokalkyl!F16</f>
        <v>Villa Smedby</v>
      </c>
      <c r="G10" s="119"/>
      <c r="H10" s="119"/>
      <c r="I10" s="81"/>
    </row>
    <row r="14" spans="1:10" ht="18" customHeight="1" x14ac:dyDescent="0.25">
      <c r="A14" s="256" t="s">
        <v>279</v>
      </c>
    </row>
    <row r="15" spans="1:10" ht="18" customHeight="1" x14ac:dyDescent="0.25">
      <c r="A15" s="256" t="s">
        <v>280</v>
      </c>
    </row>
    <row r="16" spans="1:10" ht="18" customHeight="1" x14ac:dyDescent="0.25">
      <c r="A16" s="256"/>
    </row>
    <row r="18" spans="1:9" x14ac:dyDescent="0.2">
      <c r="A18" t="s">
        <v>281</v>
      </c>
      <c r="D18" t="s">
        <v>282</v>
      </c>
      <c r="E18" s="93">
        <v>175</v>
      </c>
      <c r="F18" t="s">
        <v>283</v>
      </c>
      <c r="G18" s="257">
        <v>38</v>
      </c>
      <c r="H18" t="s">
        <v>284</v>
      </c>
      <c r="I18" s="258">
        <f>E18*G18</f>
        <v>6650</v>
      </c>
    </row>
    <row r="20" spans="1:9" x14ac:dyDescent="0.2">
      <c r="A20" t="s">
        <v>285</v>
      </c>
      <c r="D20" t="s">
        <v>286</v>
      </c>
      <c r="E20" s="93">
        <v>11000</v>
      </c>
      <c r="F20" t="s">
        <v>287</v>
      </c>
      <c r="G20" s="257">
        <v>2.5</v>
      </c>
      <c r="H20" t="s">
        <v>284</v>
      </c>
      <c r="I20" s="259">
        <f>E20*G20</f>
        <v>27500</v>
      </c>
    </row>
    <row r="21" spans="1:9" x14ac:dyDescent="0.2">
      <c r="A21" t="s">
        <v>288</v>
      </c>
      <c r="E21" s="93"/>
      <c r="F21" t="s">
        <v>287</v>
      </c>
      <c r="G21" s="257"/>
      <c r="I21" s="259">
        <f>E21*G21</f>
        <v>0</v>
      </c>
    </row>
    <row r="22" spans="1:9" x14ac:dyDescent="0.2">
      <c r="E22" s="56"/>
      <c r="G22" s="260"/>
      <c r="I22" s="261"/>
    </row>
    <row r="23" spans="1:9" x14ac:dyDescent="0.2">
      <c r="A23" t="s">
        <v>289</v>
      </c>
      <c r="E23" s="56"/>
      <c r="G23" s="260"/>
      <c r="I23" s="262"/>
    </row>
    <row r="25" spans="1:9" x14ac:dyDescent="0.2">
      <c r="A25" t="s">
        <v>290</v>
      </c>
      <c r="I25" s="262">
        <v>2500</v>
      </c>
    </row>
    <row r="27" spans="1:9" x14ac:dyDescent="0.2">
      <c r="A27" t="s">
        <v>291</v>
      </c>
      <c r="I27" s="262"/>
    </row>
    <row r="29" spans="1:9" x14ac:dyDescent="0.2">
      <c r="A29" t="s">
        <v>292</v>
      </c>
      <c r="I29" s="262"/>
    </row>
    <row r="31" spans="1:9" x14ac:dyDescent="0.2">
      <c r="A31" t="s">
        <v>293</v>
      </c>
      <c r="I31" s="259">
        <f>I18+I20+I21+I23+I25+I27</f>
        <v>36650</v>
      </c>
    </row>
    <row r="33" spans="1:9" ht="15.75" customHeight="1" x14ac:dyDescent="0.25">
      <c r="A33" s="263" t="s">
        <v>294</v>
      </c>
      <c r="I33" s="264">
        <f>ROUND(I31+400,-3)</f>
        <v>37000</v>
      </c>
    </row>
    <row r="35" spans="1:9" ht="15.75" customHeight="1" x14ac:dyDescent="0.25">
      <c r="A35" s="263" t="s">
        <v>295</v>
      </c>
      <c r="I35" s="265"/>
    </row>
    <row r="37" spans="1:9" x14ac:dyDescent="0.2">
      <c r="A37" s="236" t="s">
        <v>296</v>
      </c>
    </row>
    <row r="41" spans="1:9" x14ac:dyDescent="0.2">
      <c r="A41" s="119"/>
      <c r="B41" s="119"/>
      <c r="C41" s="119"/>
    </row>
    <row r="42" spans="1:9" x14ac:dyDescent="0.2">
      <c r="A42" s="56">
        <f>A10</f>
        <v>0</v>
      </c>
    </row>
    <row r="44" spans="1:9" x14ac:dyDescent="0.2">
      <c r="A44" s="102" t="s">
        <v>297</v>
      </c>
    </row>
    <row r="45" spans="1:9" x14ac:dyDescent="0.2">
      <c r="A45" s="236"/>
    </row>
    <row r="46" spans="1:9" x14ac:dyDescent="0.2">
      <c r="A46" s="236"/>
    </row>
    <row r="47" spans="1:9" x14ac:dyDescent="0.2">
      <c r="A47" s="236"/>
    </row>
    <row r="48" spans="1:9" x14ac:dyDescent="0.2">
      <c r="A48" s="236"/>
    </row>
    <row r="49" spans="1:1" x14ac:dyDescent="0.2">
      <c r="A49" s="236"/>
    </row>
    <row r="50" spans="1:1" x14ac:dyDescent="0.2">
      <c r="A50" s="236"/>
    </row>
    <row r="51" spans="1:1" x14ac:dyDescent="0.2">
      <c r="A51" s="237"/>
    </row>
  </sheetData>
  <sheetProtection algorithmName="SHA-512" hashValue="QAOIAnFHfca6xrXsna41vBfLhAJc7Ksvas+1b9064iskAaCQR6uXieA5mktQbLRs+JwTh7IXwUdv+o35ac8kVw==" saltValue="v3eDVKqtUdEblmpYVI2ZKA==" spinCount="100000" sheet="1"/>
  <pageMargins left="0.74791666666666667" right="0.74791666666666667" top="0.98402777777777772" bottom="0.98402777777777772" header="0.51180555555555551" footer="0.51180555555555551"/>
  <pageSetup paperSize="9" scale="91" firstPageNumber="0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234"/>
  <sheetViews>
    <sheetView workbookViewId="0"/>
  </sheetViews>
  <sheetFormatPr defaultRowHeight="12.75" x14ac:dyDescent="0.2"/>
  <cols>
    <col min="1" max="1" width="17.28515625" customWidth="1"/>
    <col min="2" max="2" width="5.42578125" customWidth="1"/>
    <col min="3" max="3" width="12.85546875" customWidth="1"/>
    <col min="4" max="4" width="22.42578125" customWidth="1"/>
    <col min="5" max="5" width="15.140625" bestFit="1" customWidth="1"/>
    <col min="6" max="6" width="9" bestFit="1" customWidth="1"/>
    <col min="7" max="7" width="12.28515625" customWidth="1"/>
    <col min="8" max="8" width="12.7109375" customWidth="1"/>
    <col min="9" max="9" width="11" customWidth="1"/>
    <col min="10" max="11" width="9.140625" hidden="1" customWidth="1"/>
  </cols>
  <sheetData>
    <row r="1" spans="1:22" ht="22.5" customHeight="1" x14ac:dyDescent="0.25">
      <c r="A1" s="1"/>
      <c r="B1" s="2"/>
      <c r="C1" s="2"/>
      <c r="D1" s="6" t="s">
        <v>298</v>
      </c>
      <c r="E1" s="4"/>
      <c r="F1" s="4"/>
      <c r="G1" s="2"/>
      <c r="H1" s="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" customHeight="1" x14ac:dyDescent="0.3">
      <c r="A2" s="1"/>
      <c r="B2" s="2"/>
      <c r="C2" s="2"/>
      <c r="D2" s="3"/>
      <c r="E2" s="4"/>
      <c r="F2" s="4"/>
      <c r="G2" s="2"/>
      <c r="H2" s="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13" customFormat="1" ht="10.5" customHeight="1" x14ac:dyDescent="0.2">
      <c r="A3" s="7" t="s">
        <v>299</v>
      </c>
      <c r="B3" s="8"/>
      <c r="C3" s="9" t="s">
        <v>3</v>
      </c>
      <c r="D3" s="10"/>
      <c r="E3" s="313"/>
      <c r="F3" s="10"/>
      <c r="G3" s="7" t="s">
        <v>5</v>
      </c>
      <c r="H3" s="31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x14ac:dyDescent="0.2">
      <c r="A4" s="14" t="str">
        <f>Produktionskostnadskalkyl!A4</f>
        <v>Erica Bernardin</v>
      </c>
      <c r="B4" s="15"/>
      <c r="C4" s="16">
        <f>Produktionskostnadskalkyl!C4</f>
        <v>0</v>
      </c>
      <c r="D4" s="17"/>
      <c r="E4" s="18"/>
      <c r="F4" s="17"/>
      <c r="G4" s="470" t="str">
        <f>Produktionskostnadskalkyl!G4</f>
        <v>Havstenshult, Tomt nr. 11</v>
      </c>
      <c r="H4" s="47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3.5" customHeight="1" thickBot="1" x14ac:dyDescent="0.25">
      <c r="A5" s="22"/>
      <c r="B5" s="23"/>
      <c r="C5" s="19">
        <f>Produktionskostnadskalkyl!C5</f>
        <v>0</v>
      </c>
      <c r="D5" s="328"/>
      <c r="E5" s="20"/>
      <c r="F5" s="328"/>
      <c r="G5" s="26"/>
      <c r="H5" s="31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s="13" customFormat="1" ht="13.15" customHeight="1" x14ac:dyDescent="0.2">
      <c r="A6" s="27" t="s">
        <v>6</v>
      </c>
      <c r="B6" s="28"/>
      <c r="C6" s="574" t="s">
        <v>300</v>
      </c>
      <c r="D6" s="556"/>
      <c r="E6" s="332" t="s">
        <v>4</v>
      </c>
      <c r="F6" s="332" t="s">
        <v>301</v>
      </c>
      <c r="G6" s="333" t="s">
        <v>8</v>
      </c>
      <c r="H6" s="315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s="31" customFormat="1" ht="13.9" customHeight="1" thickBot="1" x14ac:dyDescent="0.25">
      <c r="A7" s="24" t="s">
        <v>302</v>
      </c>
      <c r="B7" s="25"/>
      <c r="C7" s="569"/>
      <c r="D7" s="570"/>
      <c r="E7" s="398">
        <f>Produktionskostnadskalkyl!F4</f>
        <v>46166</v>
      </c>
      <c r="F7" s="331"/>
      <c r="G7" s="573" t="str">
        <f>Produktionskostnadskalkyl!G7</f>
        <v>Mullsjö</v>
      </c>
      <c r="H7" s="570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x14ac:dyDescent="0.2">
      <c r="A8" s="7" t="s">
        <v>20</v>
      </c>
      <c r="B8" s="32"/>
      <c r="C8" s="329" t="s">
        <v>303</v>
      </c>
      <c r="D8" s="329" t="s">
        <v>304</v>
      </c>
      <c r="E8" s="329" t="s">
        <v>305</v>
      </c>
      <c r="F8" s="330" t="s">
        <v>306</v>
      </c>
      <c r="G8" s="571" t="s">
        <v>307</v>
      </c>
      <c r="H8" s="52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5" customHeight="1" x14ac:dyDescent="0.2">
      <c r="A9" s="33" t="s">
        <v>308</v>
      </c>
      <c r="B9" s="34"/>
      <c r="C9" s="266" t="s">
        <v>309</v>
      </c>
      <c r="D9" s="266" t="s">
        <v>310</v>
      </c>
      <c r="E9" s="266" t="s">
        <v>311</v>
      </c>
      <c r="F9" s="306" t="s">
        <v>312</v>
      </c>
      <c r="G9" s="335" t="s">
        <v>313</v>
      </c>
      <c r="H9" s="336" t="s">
        <v>314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5" customHeight="1" x14ac:dyDescent="0.2">
      <c r="A10" s="7" t="s">
        <v>315</v>
      </c>
      <c r="B10" s="32"/>
      <c r="C10" s="356">
        <f>SUM(Produktionskostnadskalkyl!C10)</f>
        <v>0</v>
      </c>
      <c r="D10" s="356">
        <f>SUM(Produktionskostnadskalkyl!D10)</f>
        <v>0</v>
      </c>
      <c r="E10" s="356">
        <f>SUM(Produktionskostnadskalkyl!E10)</f>
        <v>0</v>
      </c>
      <c r="F10" s="357">
        <f>SUM(Produktionskostnadskalkyl!F10)</f>
        <v>2191900</v>
      </c>
      <c r="G10" s="350"/>
      <c r="H10" s="39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5" customHeight="1" x14ac:dyDescent="0.2">
      <c r="A11" s="7" t="s">
        <v>7</v>
      </c>
      <c r="B11" s="32"/>
      <c r="C11" s="356">
        <f>SUM(Produktionskostnadskalkyl!C11)</f>
        <v>0</v>
      </c>
      <c r="D11" s="356">
        <f>SUM(Produktionskostnadskalkyl!D11)</f>
        <v>0</v>
      </c>
      <c r="E11" s="356">
        <f>SUM(Produktionskostnadskalkyl!E11)</f>
        <v>0</v>
      </c>
      <c r="F11" s="357">
        <f>SUM(Produktionskostnadskalkyl!F11)</f>
        <v>0</v>
      </c>
      <c r="G11" s="350"/>
      <c r="H11" s="390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5" customHeight="1" thickBot="1" x14ac:dyDescent="0.25">
      <c r="A12" s="7" t="s">
        <v>17</v>
      </c>
      <c r="B12" s="32"/>
      <c r="C12" s="356">
        <f>SUM(Produktionskostnadskalkyl!C12)</f>
        <v>0</v>
      </c>
      <c r="D12" s="356">
        <f>SUM(Produktionskostnadskalkyl!D12)</f>
        <v>0</v>
      </c>
      <c r="E12" s="356">
        <f>SUM(Produktionskostnadskalkyl!E12)</f>
        <v>0</v>
      </c>
      <c r="F12" s="357">
        <f>SUM(Produktionskostnadskalkyl!F12)</f>
        <v>315288</v>
      </c>
      <c r="G12" s="351"/>
      <c r="H12" s="35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5" customHeight="1" x14ac:dyDescent="0.2">
      <c r="A13" s="391" t="s">
        <v>19</v>
      </c>
      <c r="B13" s="323"/>
      <c r="C13" s="378" t="s">
        <v>20</v>
      </c>
      <c r="D13" s="379"/>
      <c r="E13" s="380"/>
      <c r="F13" s="381"/>
      <c r="G13" s="567">
        <f>SUM(G10:G12)</f>
        <v>0</v>
      </c>
      <c r="H13" s="567">
        <f>SUM(H10:H12)</f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1.45" customHeight="1" thickBot="1" x14ac:dyDescent="0.25">
      <c r="A14" s="392" t="s">
        <v>22</v>
      </c>
      <c r="B14" s="324"/>
      <c r="C14" s="320">
        <f>SUM(C10:C12)</f>
        <v>0</v>
      </c>
      <c r="D14" s="317">
        <f>SUM(D10:D12)</f>
        <v>0</v>
      </c>
      <c r="E14" s="318">
        <f>SUM(E10:E12)</f>
        <v>0</v>
      </c>
      <c r="F14" s="334">
        <f>SUM(F10:F12)</f>
        <v>2507188</v>
      </c>
      <c r="G14" s="568"/>
      <c r="H14" s="568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15" customHeight="1" x14ac:dyDescent="0.2">
      <c r="A15" s="46" t="s">
        <v>23</v>
      </c>
      <c r="B15" s="50"/>
      <c r="C15" s="382">
        <f>SUM(Produktionskostnadskalkyl!C15)</f>
        <v>0</v>
      </c>
      <c r="D15" s="382">
        <f>SUM(Produktionskostnadskalkyl!D15)</f>
        <v>0</v>
      </c>
      <c r="E15" s="382">
        <f>SUM(Produktionskostnadskalkyl!E15)</f>
        <v>0</v>
      </c>
      <c r="F15" s="382">
        <f>SUM(Produktionskostnadskalkyl!F15)</f>
        <v>0</v>
      </c>
      <c r="G15" s="351"/>
      <c r="H15" s="35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15" customHeight="1" x14ac:dyDescent="0.2">
      <c r="A16" s="7" t="s">
        <v>316</v>
      </c>
      <c r="B16" s="32"/>
      <c r="C16" s="382">
        <f>SUM(Produktionskostnadskalkyl!C16)</f>
        <v>0</v>
      </c>
      <c r="D16" s="382">
        <f>SUM(Produktionskostnadskalkyl!D16)</f>
        <v>0</v>
      </c>
      <c r="E16" s="382">
        <f>SUM(Produktionskostnadskalkyl!E16)</f>
        <v>0</v>
      </c>
      <c r="F16" s="382">
        <f>SUM(Produktionskostnadskalkyl!F16)</f>
        <v>210700</v>
      </c>
      <c r="G16" s="351"/>
      <c r="H16" s="35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3" ht="15" customHeight="1" x14ac:dyDescent="0.2">
      <c r="A17" s="7" t="s">
        <v>25</v>
      </c>
      <c r="B17" s="32"/>
      <c r="C17" s="382">
        <f>SUM(Produktionskostnadskalkyl!C17)</f>
        <v>0</v>
      </c>
      <c r="D17" s="382">
        <f>SUM(Produktionskostnadskalkyl!D17)</f>
        <v>0</v>
      </c>
      <c r="E17" s="382">
        <f>SUM(Produktionskostnadskalkyl!E17)</f>
        <v>0</v>
      </c>
      <c r="F17" s="382">
        <f>SUM(Produktionskostnadskalkyl!F17)</f>
        <v>0</v>
      </c>
      <c r="G17" s="351"/>
      <c r="H17" s="35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3" ht="15" customHeight="1" x14ac:dyDescent="0.2">
      <c r="A18" s="7" t="s">
        <v>27</v>
      </c>
      <c r="B18" s="32"/>
      <c r="C18" s="382">
        <f>SUM(Produktionskostnadskalkyl!C18)</f>
        <v>0</v>
      </c>
      <c r="D18" s="382">
        <f>SUM(Produktionskostnadskalkyl!D18)</f>
        <v>0</v>
      </c>
      <c r="E18" s="382">
        <f>SUM(Produktionskostnadskalkyl!E18)</f>
        <v>0</v>
      </c>
      <c r="F18" s="382">
        <f>SUM(Produktionskostnadskalkyl!F18)</f>
        <v>0</v>
      </c>
      <c r="G18" s="351"/>
      <c r="H18" s="35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3" ht="15" customHeight="1" x14ac:dyDescent="0.2">
      <c r="A19" s="7" t="s">
        <v>28</v>
      </c>
      <c r="B19" s="32"/>
      <c r="C19" s="382">
        <f>SUM(Produktionskostnadskalkyl!C19)</f>
        <v>0</v>
      </c>
      <c r="D19" s="382">
        <f>SUM(Produktionskostnadskalkyl!D19)</f>
        <v>0</v>
      </c>
      <c r="E19" s="382">
        <f>SUM(Produktionskostnadskalkyl!E19)</f>
        <v>0</v>
      </c>
      <c r="F19" s="382">
        <f>SUM(Produktionskostnadskalkyl!F19)</f>
        <v>0</v>
      </c>
      <c r="G19" s="351"/>
      <c r="H19" s="35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3" ht="15" customHeight="1" x14ac:dyDescent="0.2">
      <c r="A20" s="7" t="s">
        <v>29</v>
      </c>
      <c r="B20" s="32"/>
      <c r="C20" s="382">
        <f>SUM(Produktionskostnadskalkyl!C20)</f>
        <v>0</v>
      </c>
      <c r="D20" s="382">
        <f>SUM(Produktionskostnadskalkyl!D20)</f>
        <v>0</v>
      </c>
      <c r="E20" s="382">
        <f>SUM(Produktionskostnadskalkyl!E20)</f>
        <v>0</v>
      </c>
      <c r="F20" s="382">
        <f>SUM(Produktionskostnadskalkyl!F20)</f>
        <v>0</v>
      </c>
      <c r="G20" s="351"/>
      <c r="H20" s="35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3" ht="15" customHeight="1" x14ac:dyDescent="0.2">
      <c r="A21" s="7" t="s">
        <v>317</v>
      </c>
      <c r="B21" s="32"/>
      <c r="C21" s="382">
        <f>SUM(Produktionskostnadskalkyl!C21)</f>
        <v>0</v>
      </c>
      <c r="D21" s="382">
        <f>SUM(Produktionskostnadskalkyl!D21)</f>
        <v>0</v>
      </c>
      <c r="E21" s="382">
        <f>SUM(Produktionskostnadskalkyl!E21)</f>
        <v>0</v>
      </c>
      <c r="F21" s="382">
        <f>SUM(Produktionskostnadskalkyl!F21)</f>
        <v>0</v>
      </c>
      <c r="G21" s="351"/>
      <c r="H21" s="35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3" ht="15" customHeight="1" x14ac:dyDescent="0.2">
      <c r="A22" s="38" t="s">
        <v>31</v>
      </c>
      <c r="B22" s="39"/>
      <c r="C22" s="382">
        <f>SUM(Produktionskostnadskalkyl!C22)</f>
        <v>0</v>
      </c>
      <c r="D22" s="382">
        <f>SUM(Produktionskostnadskalkyl!D22)</f>
        <v>0</v>
      </c>
      <c r="E22" s="382">
        <f>SUM(Produktionskostnadskalkyl!E22)</f>
        <v>0</v>
      </c>
      <c r="F22" s="382">
        <f>SUM(Produktionskostnadskalkyl!F22)</f>
        <v>0</v>
      </c>
      <c r="G22" s="351"/>
      <c r="H22" s="35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3" ht="15" customHeight="1" thickBot="1" x14ac:dyDescent="0.25">
      <c r="A23" s="7" t="s">
        <v>318</v>
      </c>
      <c r="B23" s="44"/>
      <c r="C23" s="382">
        <f>SUM(Produktionskostnadskalkyl!C27)</f>
        <v>0</v>
      </c>
      <c r="D23" s="382">
        <f>SUM(Produktionskostnadskalkyl!D27)</f>
        <v>0</v>
      </c>
      <c r="E23" s="382">
        <f>SUM(Produktionskostnadskalkyl!E27)</f>
        <v>0</v>
      </c>
      <c r="F23" s="382">
        <f>SUM(Produktionskostnadskalkyl!F27)</f>
        <v>0</v>
      </c>
      <c r="G23" s="351"/>
      <c r="H23" s="35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45"/>
    </row>
    <row r="24" spans="1:23" ht="15" customHeight="1" x14ac:dyDescent="0.2">
      <c r="A24" s="566" t="s">
        <v>37</v>
      </c>
      <c r="B24" s="534"/>
      <c r="C24" s="379"/>
      <c r="D24" s="379"/>
      <c r="E24" s="379"/>
      <c r="F24" s="383"/>
      <c r="G24" s="567">
        <f>SUM(G15:G23)</f>
        <v>0</v>
      </c>
      <c r="H24" s="565">
        <f>SUM(H15:H23)</f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3" ht="15" customHeight="1" thickBot="1" x14ac:dyDescent="0.25">
      <c r="A25" s="572" t="s">
        <v>38</v>
      </c>
      <c r="B25" s="506"/>
      <c r="C25" s="327">
        <f>SUM(C15:C23)</f>
        <v>0</v>
      </c>
      <c r="D25" s="327">
        <f>SUM(D15:D23)</f>
        <v>0</v>
      </c>
      <c r="E25" s="327">
        <f>SUM(E15:E23)</f>
        <v>0</v>
      </c>
      <c r="F25" s="327">
        <f>SUM(F15:F23)</f>
        <v>210700</v>
      </c>
      <c r="G25" s="568"/>
      <c r="H25" s="50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3" ht="15" customHeight="1" x14ac:dyDescent="0.2">
      <c r="A26" s="35" t="s">
        <v>39</v>
      </c>
      <c r="B26" s="34"/>
      <c r="C26" s="382">
        <f>SUM(Produktionskostnadskalkyl!C30)</f>
        <v>0</v>
      </c>
      <c r="D26" s="382">
        <f>SUM(Produktionskostnadskalkyl!D30)</f>
        <v>0</v>
      </c>
      <c r="E26" s="382">
        <f>SUM(Produktionskostnadskalkyl!E30)</f>
        <v>0</v>
      </c>
      <c r="F26" s="382">
        <f>SUM(Produktionskostnadskalkyl!F30)</f>
        <v>449000</v>
      </c>
      <c r="G26" s="353"/>
      <c r="H26" s="35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3" ht="15" customHeight="1" x14ac:dyDescent="0.2">
      <c r="A27" s="38" t="s">
        <v>40</v>
      </c>
      <c r="B27" s="39"/>
      <c r="C27" s="382">
        <f>SUM(Produktionskostnadskalkyl!C31)</f>
        <v>0</v>
      </c>
      <c r="D27" s="382">
        <f>SUM(Produktionskostnadskalkyl!D31)</f>
        <v>0</v>
      </c>
      <c r="E27" s="382">
        <f>SUM(Produktionskostnadskalkyl!E31)</f>
        <v>0</v>
      </c>
      <c r="F27" s="382">
        <f>SUM(Produktionskostnadskalkyl!F31)</f>
        <v>7600</v>
      </c>
      <c r="G27" s="354"/>
      <c r="H27" s="35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3" ht="15" customHeight="1" x14ac:dyDescent="0.2">
      <c r="A28" s="38" t="s">
        <v>319</v>
      </c>
      <c r="B28" s="39"/>
      <c r="C28" s="382">
        <f>SUM(Produktionskostnadskalkyl!C32)</f>
        <v>0</v>
      </c>
      <c r="D28" s="382">
        <f>SUM(Produktionskostnadskalkyl!D32)</f>
        <v>0</v>
      </c>
      <c r="E28" s="382">
        <f>SUM(Produktionskostnadskalkyl!E32)</f>
        <v>0</v>
      </c>
      <c r="F28" s="382">
        <f>SUM(Produktionskostnadskalkyl!F32)</f>
        <v>65000</v>
      </c>
      <c r="G28" s="354"/>
      <c r="H28" s="35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3" ht="15" customHeight="1" x14ac:dyDescent="0.2">
      <c r="A29" s="38" t="s">
        <v>44</v>
      </c>
      <c r="B29" s="39"/>
      <c r="C29" s="382">
        <f>SUM(Produktionskostnadskalkyl!C33)</f>
        <v>0</v>
      </c>
      <c r="D29" s="382">
        <f>SUM(Produktionskostnadskalkyl!D33)</f>
        <v>0</v>
      </c>
      <c r="E29" s="382">
        <f>SUM(Produktionskostnadskalkyl!E33)</f>
        <v>0</v>
      </c>
      <c r="F29" s="382">
        <f>SUM(Produktionskostnadskalkyl!F33)</f>
        <v>0</v>
      </c>
      <c r="G29" s="354"/>
      <c r="H29" s="35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3" ht="15" customHeight="1" x14ac:dyDescent="0.2">
      <c r="A30" s="38" t="s">
        <v>45</v>
      </c>
      <c r="B30" s="39"/>
      <c r="C30" s="382">
        <f>SUM(Produktionskostnadskalkyl!C34)</f>
        <v>0</v>
      </c>
      <c r="D30" s="382">
        <f>SUM(Produktionskostnadskalkyl!D34)</f>
        <v>0</v>
      </c>
      <c r="E30" s="382">
        <f>SUM(Produktionskostnadskalkyl!E34)</f>
        <v>0</v>
      </c>
      <c r="F30" s="382">
        <f>SUM(Produktionskostnadskalkyl!F34)</f>
        <v>0</v>
      </c>
      <c r="G30" s="354"/>
      <c r="H30" s="35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3" ht="15" customHeight="1" x14ac:dyDescent="0.2">
      <c r="A31" s="38" t="s">
        <v>46</v>
      </c>
      <c r="B31" s="39"/>
      <c r="C31" s="382">
        <f>SUM(Produktionskostnadskalkyl!C35)</f>
        <v>0</v>
      </c>
      <c r="D31" s="382">
        <f>SUM(Produktionskostnadskalkyl!D35)</f>
        <v>0</v>
      </c>
      <c r="E31" s="382">
        <f>SUM(Produktionskostnadskalkyl!E35)</f>
        <v>0</v>
      </c>
      <c r="F31" s="382">
        <f>SUM(Produktionskostnadskalkyl!F35)</f>
        <v>25000</v>
      </c>
      <c r="G31" s="354"/>
      <c r="H31" s="35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3" ht="15" customHeight="1" x14ac:dyDescent="0.2">
      <c r="A32" s="38" t="s">
        <v>48</v>
      </c>
      <c r="B32" s="39"/>
      <c r="C32" s="382">
        <f>SUM(Produktionskostnadskalkyl!C36)</f>
        <v>0</v>
      </c>
      <c r="D32" s="382">
        <f>SUM(Produktionskostnadskalkyl!D36)</f>
        <v>0</v>
      </c>
      <c r="E32" s="382">
        <f>SUM(Produktionskostnadskalkyl!E36)</f>
        <v>0</v>
      </c>
      <c r="F32" s="382">
        <f>SUM(Produktionskostnadskalkyl!F36)</f>
        <v>54000</v>
      </c>
      <c r="G32" s="354"/>
      <c r="H32" s="35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15" customHeight="1" x14ac:dyDescent="0.2">
      <c r="A33" s="38" t="s">
        <v>320</v>
      </c>
      <c r="B33" s="39"/>
      <c r="C33" s="382">
        <f>SUM(Produktionskostnadskalkyl!C37)</f>
        <v>0</v>
      </c>
      <c r="D33" s="382">
        <f>SUM(Produktionskostnadskalkyl!D37)</f>
        <v>0</v>
      </c>
      <c r="E33" s="382">
        <f>SUM(Produktionskostnadskalkyl!E37)</f>
        <v>0</v>
      </c>
      <c r="F33" s="382">
        <f>SUM(Produktionskostnadskalkyl!F37)</f>
        <v>0</v>
      </c>
      <c r="G33" s="354"/>
      <c r="H33" s="35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5" customHeight="1" x14ac:dyDescent="0.2">
      <c r="A34" s="38" t="s">
        <v>51</v>
      </c>
      <c r="B34" s="39"/>
      <c r="C34" s="382">
        <f>SUM(Produktionskostnadskalkyl!C38)</f>
        <v>0</v>
      </c>
      <c r="D34" s="382">
        <f>SUM(Produktionskostnadskalkyl!D38)</f>
        <v>0</v>
      </c>
      <c r="E34" s="382">
        <f>SUM(Produktionskostnadskalkyl!E38)</f>
        <v>0</v>
      </c>
      <c r="F34" s="382">
        <f>SUM(Produktionskostnadskalkyl!F38)</f>
        <v>0</v>
      </c>
      <c r="G34" s="354"/>
      <c r="H34" s="35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5" customHeight="1" x14ac:dyDescent="0.2">
      <c r="A35" s="38" t="s">
        <v>52</v>
      </c>
      <c r="B35" s="39"/>
      <c r="C35" s="382">
        <f>SUM(Produktionskostnadskalkyl!C39)</f>
        <v>0</v>
      </c>
      <c r="D35" s="382">
        <f>SUM(Produktionskostnadskalkyl!D39)</f>
        <v>0</v>
      </c>
      <c r="E35" s="382">
        <f>SUM(Produktionskostnadskalkyl!E39)</f>
        <v>0</v>
      </c>
      <c r="F35" s="382">
        <f>SUM(Produktionskostnadskalkyl!F39)</f>
        <v>0</v>
      </c>
      <c r="G35" s="354"/>
      <c r="H35" s="35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" customHeight="1" x14ac:dyDescent="0.2">
      <c r="A36" s="38" t="s">
        <v>53</v>
      </c>
      <c r="B36" s="39"/>
      <c r="C36" s="382">
        <f>SUM(Produktionskostnadskalkyl!C40)</f>
        <v>0</v>
      </c>
      <c r="D36" s="382">
        <f>SUM(Produktionskostnadskalkyl!D40)</f>
        <v>0</v>
      </c>
      <c r="E36" s="382">
        <f>SUM(Produktionskostnadskalkyl!E40)</f>
        <v>0</v>
      </c>
      <c r="F36" s="382">
        <f>SUM(Produktionskostnadskalkyl!F40)</f>
        <v>0</v>
      </c>
      <c r="G36" s="354"/>
      <c r="H36" s="35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5" customHeight="1" x14ac:dyDescent="0.2">
      <c r="A37" s="38" t="s">
        <v>55</v>
      </c>
      <c r="B37" s="39"/>
      <c r="C37" s="382">
        <f>SUM(Produktionskostnadskalkyl!C41)</f>
        <v>0</v>
      </c>
      <c r="D37" s="382">
        <f>SUM(Produktionskostnadskalkyl!D41)</f>
        <v>0</v>
      </c>
      <c r="E37" s="382">
        <f>SUM(Produktionskostnadskalkyl!E41)</f>
        <v>0</v>
      </c>
      <c r="F37" s="382">
        <f>SUM(Produktionskostnadskalkyl!F41)</f>
        <v>0</v>
      </c>
      <c r="G37" s="354"/>
      <c r="H37" s="35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5" customHeight="1" x14ac:dyDescent="0.2">
      <c r="A38" s="46" t="s">
        <v>321</v>
      </c>
      <c r="B38" s="39"/>
      <c r="C38" s="382">
        <f>SUM(Produktionskostnadskalkyl!C42)</f>
        <v>0</v>
      </c>
      <c r="D38" s="382">
        <f>SUM(Produktionskostnadskalkyl!D42)</f>
        <v>0</v>
      </c>
      <c r="E38" s="382">
        <f>SUM(Produktionskostnadskalkyl!E42)</f>
        <v>0</v>
      </c>
      <c r="F38" s="382">
        <f>SUM(Produktionskostnadskalkyl!F42)</f>
        <v>0</v>
      </c>
      <c r="G38" s="354"/>
      <c r="H38" s="35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5" customHeight="1" x14ac:dyDescent="0.2">
      <c r="A39" s="483" t="s">
        <v>58</v>
      </c>
      <c r="B39" s="467"/>
      <c r="C39" s="382">
        <f>SUM(Produktionskostnadskalkyl!C43)</f>
        <v>0</v>
      </c>
      <c r="D39" s="382">
        <f>SUM(Produktionskostnadskalkyl!D43)</f>
        <v>0</v>
      </c>
      <c r="E39" s="382">
        <f>SUM(Produktionskostnadskalkyl!E43)</f>
        <v>0</v>
      </c>
      <c r="F39" s="382">
        <f>SUM(Produktionskostnadskalkyl!F43)</f>
        <v>0</v>
      </c>
      <c r="G39" s="355"/>
      <c r="H39" s="35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5" customHeight="1" x14ac:dyDescent="0.2">
      <c r="A40" s="540" t="s">
        <v>59</v>
      </c>
      <c r="B40" s="465"/>
      <c r="C40" s="382">
        <f>SUM(Produktionskostnadskalkyl!C44)</f>
        <v>0</v>
      </c>
      <c r="D40" s="382">
        <f>SUM(Produktionskostnadskalkyl!D44)</f>
        <v>0</v>
      </c>
      <c r="E40" s="382">
        <f>SUM(Produktionskostnadskalkyl!E44)</f>
        <v>0</v>
      </c>
      <c r="F40" s="382">
        <f>SUM(Produktionskostnadskalkyl!F44)</f>
        <v>0</v>
      </c>
      <c r="G40" s="355"/>
      <c r="H40" s="35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5" customHeight="1" x14ac:dyDescent="0.2">
      <c r="A41" s="531" t="s">
        <v>61</v>
      </c>
      <c r="B41" s="530"/>
      <c r="C41" s="382">
        <f>SUM(Produktionskostnadskalkyl!C45)</f>
        <v>0</v>
      </c>
      <c r="D41" s="382">
        <f>SUM(Produktionskostnadskalkyl!D45)</f>
        <v>0</v>
      </c>
      <c r="E41" s="382">
        <f>SUM(Produktionskostnadskalkyl!E45)</f>
        <v>0</v>
      </c>
      <c r="F41" s="382">
        <f>SUM(Produktionskostnadskalkyl!F45)</f>
        <v>24000</v>
      </c>
      <c r="G41" s="355"/>
      <c r="H41" s="35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5" customHeight="1" thickBot="1" x14ac:dyDescent="0.25">
      <c r="A42" s="564"/>
      <c r="B42" s="506"/>
      <c r="C42" s="382">
        <f>SUM(Produktionskostnadskalkyl!C50)</f>
        <v>0</v>
      </c>
      <c r="D42" s="382">
        <f>SUM(Produktionskostnadskalkyl!D50)</f>
        <v>0</v>
      </c>
      <c r="E42" s="382">
        <f>SUM(Produktionskostnadskalkyl!E50)</f>
        <v>0</v>
      </c>
      <c r="F42" s="382">
        <f>SUM(Produktionskostnadskalkyl!F50)</f>
        <v>0</v>
      </c>
      <c r="G42" s="355"/>
      <c r="H42" s="355"/>
      <c r="I42" s="5"/>
      <c r="J42" t="s">
        <v>68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2.6" customHeight="1" x14ac:dyDescent="0.2">
      <c r="A43" s="391" t="s">
        <v>69</v>
      </c>
      <c r="B43" s="325"/>
      <c r="C43" s="384"/>
      <c r="D43" s="384"/>
      <c r="E43" s="384"/>
      <c r="F43" s="385"/>
      <c r="G43" s="575">
        <f>SUM(G26:G42)</f>
        <v>0</v>
      </c>
      <c r="H43" s="577">
        <f>SUM(H26:H42)</f>
        <v>0</v>
      </c>
      <c r="I43" s="5"/>
      <c r="J43" s="47">
        <f>G14+G25+G44+50000-Bokalkyl!H24</f>
        <v>-310000</v>
      </c>
      <c r="K43" s="5" t="s">
        <v>70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5" customHeight="1" thickBot="1" x14ac:dyDescent="0.25">
      <c r="A44" s="392" t="s">
        <v>71</v>
      </c>
      <c r="B44" s="326"/>
      <c r="C44" s="41">
        <f>SUM(C26:C42)</f>
        <v>0</v>
      </c>
      <c r="D44" s="358">
        <f>SUM(D26:D42)</f>
        <v>0</v>
      </c>
      <c r="E44" s="358">
        <f>SUM(E26:E42)</f>
        <v>0</v>
      </c>
      <c r="F44" s="359">
        <f>SUM(F26:F42)</f>
        <v>624600</v>
      </c>
      <c r="G44" s="576"/>
      <c r="H44" s="578"/>
      <c r="I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5" customHeight="1" thickBot="1" x14ac:dyDescent="0.25">
      <c r="A45" s="46" t="s">
        <v>72</v>
      </c>
      <c r="B45" s="55"/>
      <c r="C45" s="364"/>
      <c r="D45" s="364" t="e">
        <f>SUM(Produktionskostnadskalkyl!#REF!)</f>
        <v>#REF!</v>
      </c>
      <c r="E45" s="364"/>
      <c r="F45" s="366"/>
      <c r="G45" s="361"/>
      <c r="H45" s="354"/>
      <c r="I45" s="5"/>
      <c r="J45" s="48">
        <f>(G14+G25)</f>
        <v>0</v>
      </c>
      <c r="K45" s="5" t="s">
        <v>74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5" customHeight="1" x14ac:dyDescent="0.2">
      <c r="A46" s="7" t="s">
        <v>322</v>
      </c>
      <c r="B46" s="360">
        <f>SUM(Produktionskostnadskalkyl!B54)</f>
        <v>3.69</v>
      </c>
      <c r="C46" s="365"/>
      <c r="D46" s="365">
        <f>SUM(Produktionskostnadskalkyl!D54)</f>
        <v>50600</v>
      </c>
      <c r="E46" s="365"/>
      <c r="F46" s="367"/>
      <c r="G46" s="361"/>
      <c r="H46" s="354"/>
      <c r="I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5" customHeight="1" thickBot="1" x14ac:dyDescent="0.25">
      <c r="A47" s="7" t="s">
        <v>323</v>
      </c>
      <c r="B47" s="9"/>
      <c r="C47" s="365"/>
      <c r="D47" s="365">
        <f>SUM(Produktionskostnadskalkyl!D55)</f>
        <v>-15100</v>
      </c>
      <c r="E47" s="365"/>
      <c r="F47" s="367"/>
      <c r="G47" s="362"/>
      <c r="H47" s="355"/>
      <c r="I47" s="5"/>
      <c r="J47" s="47">
        <f>G44</f>
        <v>0</v>
      </c>
      <c r="K47" s="5" t="s">
        <v>77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1.45" customHeight="1" x14ac:dyDescent="0.2">
      <c r="A48" s="391" t="s">
        <v>19</v>
      </c>
      <c r="B48" s="345"/>
      <c r="C48" s="386"/>
      <c r="D48" s="387"/>
      <c r="E48" s="388"/>
      <c r="F48" s="389"/>
      <c r="G48" s="567">
        <f>SUM(G45:G47)</f>
        <v>0</v>
      </c>
      <c r="H48" s="567">
        <f>SUM(H45:H47)</f>
        <v>0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5" customHeight="1" thickBot="1" x14ac:dyDescent="0.25">
      <c r="A49" s="392" t="s">
        <v>78</v>
      </c>
      <c r="B49" s="348"/>
      <c r="C49" s="371">
        <f>SUM(C45:C47)</f>
        <v>0</v>
      </c>
      <c r="D49" s="368" t="e">
        <f>SUM(D45:D47)</f>
        <v>#REF!</v>
      </c>
      <c r="E49" s="372">
        <f>SUM(E45:E47)</f>
        <v>0</v>
      </c>
      <c r="F49" s="372">
        <f>SUM(F45:F47)</f>
        <v>0</v>
      </c>
      <c r="G49" s="568"/>
      <c r="H49" s="568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.149999999999999" customHeight="1" thickBot="1" x14ac:dyDescent="0.25">
      <c r="A50" s="46" t="s">
        <v>79</v>
      </c>
      <c r="B50" s="55"/>
      <c r="C50" s="365">
        <f>SUM(Produktionskostnadskalkyl!C58)</f>
        <v>0</v>
      </c>
      <c r="D50" s="365">
        <f>SUM(Produktionskostnadskalkyl!D58)</f>
        <v>0</v>
      </c>
      <c r="E50" s="365">
        <f>SUM(Produktionskostnadskalkyl!E58)</f>
        <v>0</v>
      </c>
      <c r="F50" s="365">
        <f>SUM(Produktionskostnadskalkyl!F58)</f>
        <v>0</v>
      </c>
      <c r="G50" s="370"/>
      <c r="H50" s="370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3.5" customHeight="1" thickBot="1" x14ac:dyDescent="0.25">
      <c r="A51" s="393" t="s">
        <v>324</v>
      </c>
      <c r="B51" s="369"/>
      <c r="C51" s="373">
        <f>SUM(C50:C50)</f>
        <v>0</v>
      </c>
      <c r="D51" s="373">
        <f>SUM(D50:D50)</f>
        <v>0</v>
      </c>
      <c r="E51" s="373">
        <f>SUM(E50:E50)</f>
        <v>0</v>
      </c>
      <c r="F51" s="373"/>
      <c r="G51" s="374">
        <f>SUM(G50)</f>
        <v>0</v>
      </c>
      <c r="H51" s="375">
        <f>SUM(H50)</f>
        <v>0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3.5" customHeight="1" thickBot="1" x14ac:dyDescent="0.25">
      <c r="A52" s="49"/>
      <c r="B52" s="55"/>
      <c r="C52" s="363"/>
      <c r="D52" s="363"/>
      <c r="E52" s="560" t="s">
        <v>325</v>
      </c>
      <c r="F52" s="508"/>
      <c r="G52" s="376">
        <f>SUM(G13+G24+G43+G48+G51)</f>
        <v>0</v>
      </c>
      <c r="H52" s="319">
        <f>SUM(H13+H24+H43+H48+H51)</f>
        <v>0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4.45" customHeight="1" thickBot="1" x14ac:dyDescent="0.25">
      <c r="A53" s="49"/>
      <c r="B53" s="55"/>
      <c r="C53" s="363"/>
      <c r="D53" s="363"/>
      <c r="E53" s="559"/>
      <c r="F53" s="508"/>
      <c r="G53" s="553">
        <f>SUM(G52:H52)</f>
        <v>0</v>
      </c>
      <c r="H53" s="55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x14ac:dyDescent="0.2">
      <c r="A54" s="555" t="s">
        <v>326</v>
      </c>
      <c r="B54" s="556"/>
      <c r="C54" s="558">
        <f>SUM(Produktionskostnadskalkyl!G63)</f>
        <v>3464688</v>
      </c>
      <c r="D54" s="525"/>
      <c r="E54" s="561" t="s">
        <v>327</v>
      </c>
      <c r="F54" s="525"/>
      <c r="G54" s="551">
        <f>SUM(G53-C54)</f>
        <v>-3464688</v>
      </c>
      <c r="H54" s="52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7.9" customHeight="1" thickBot="1" x14ac:dyDescent="0.25">
      <c r="A55" s="552"/>
      <c r="B55" s="557"/>
      <c r="C55" s="552"/>
      <c r="D55" s="508"/>
      <c r="E55" s="562"/>
      <c r="F55" s="563"/>
      <c r="G55" s="552"/>
      <c r="H55" s="508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x14ac:dyDescent="0.2">
      <c r="A56" s="2"/>
      <c r="B56" s="55"/>
      <c r="C56" s="55"/>
      <c r="D56" s="55"/>
      <c r="E56" s="55"/>
      <c r="F56" s="55"/>
      <c r="G56" s="267"/>
      <c r="H56" s="26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x14ac:dyDescent="0.2">
      <c r="A57" s="53" t="s">
        <v>328</v>
      </c>
      <c r="B57" s="55"/>
      <c r="C57" s="55"/>
      <c r="D57" s="55"/>
      <c r="E57" s="55"/>
      <c r="F57" s="55"/>
      <c r="G57" s="267"/>
      <c r="H57" s="26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0.5" customHeight="1" x14ac:dyDescent="0.2">
      <c r="B58" s="2"/>
      <c r="C58" s="2"/>
      <c r="D58" s="2"/>
      <c r="E58" s="2"/>
      <c r="F58" s="2"/>
      <c r="G58" s="2"/>
      <c r="H58" s="2"/>
    </row>
    <row r="59" spans="1:22" x14ac:dyDescent="0.2">
      <c r="A59" s="2"/>
      <c r="B59" s="2"/>
      <c r="C59" s="2"/>
      <c r="D59" s="2"/>
      <c r="E59" s="2"/>
      <c r="F59" s="2"/>
      <c r="G59" s="2"/>
      <c r="H59" s="2"/>
    </row>
    <row r="60" spans="1:22" x14ac:dyDescent="0.2">
      <c r="A60" s="2"/>
      <c r="B60" s="2"/>
      <c r="C60" s="2"/>
      <c r="D60" s="2"/>
      <c r="E60" s="2"/>
      <c r="F60" s="2"/>
      <c r="G60" s="2"/>
      <c r="H60" s="2"/>
    </row>
    <row r="61" spans="1:22" x14ac:dyDescent="0.2">
      <c r="A61" s="2"/>
      <c r="B61" s="2"/>
      <c r="C61" s="2"/>
      <c r="D61" s="2"/>
      <c r="E61" s="2"/>
      <c r="F61" s="2"/>
      <c r="G61" s="2"/>
      <c r="H61" s="2"/>
    </row>
    <row r="62" spans="1:22" x14ac:dyDescent="0.2">
      <c r="A62" s="2"/>
      <c r="B62" s="2"/>
      <c r="C62" s="2"/>
      <c r="D62" s="2"/>
      <c r="E62" s="2"/>
      <c r="F62" s="2"/>
      <c r="G62" s="2"/>
      <c r="H62" s="2"/>
    </row>
    <row r="63" spans="1:22" x14ac:dyDescent="0.2">
      <c r="B63" s="2"/>
      <c r="C63" s="2"/>
      <c r="D63" s="2"/>
      <c r="E63" s="2"/>
      <c r="F63" s="2"/>
      <c r="G63" s="2"/>
      <c r="H63" s="2"/>
    </row>
    <row r="124" spans="1:22" ht="12.75" customHeight="1" x14ac:dyDescent="0.2">
      <c r="A124" s="54"/>
      <c r="B124" s="13"/>
      <c r="C124" s="55"/>
      <c r="D124" s="55"/>
      <c r="E124" s="55"/>
      <c r="F124" s="55"/>
      <c r="G124" s="56"/>
      <c r="H124" s="5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81" spans="1:29" x14ac:dyDescent="0.2">
      <c r="A181" s="5"/>
      <c r="B181" s="5"/>
      <c r="C181" s="5"/>
      <c r="D181" s="5"/>
      <c r="E181" s="5"/>
      <c r="F181" s="5"/>
      <c r="G181" s="5"/>
      <c r="H181" s="57"/>
      <c r="I181" s="57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"/>
      <c r="Z181" s="5"/>
      <c r="AA181" s="5"/>
      <c r="AB181" s="5"/>
      <c r="AC181" s="5"/>
    </row>
    <row r="182" spans="1:29" x14ac:dyDescent="0.2">
      <c r="A182" s="5"/>
      <c r="B182" s="5"/>
      <c r="C182" s="5"/>
      <c r="D182" s="5"/>
      <c r="E182" s="5"/>
      <c r="F182" s="5"/>
      <c r="G182" s="5"/>
      <c r="H182" s="5"/>
      <c r="I182" s="5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"/>
      <c r="Z182" s="5"/>
      <c r="AA182" s="5"/>
      <c r="AB182" s="5"/>
      <c r="AC182" s="5"/>
    </row>
    <row r="183" spans="1:29" x14ac:dyDescent="0.2">
      <c r="A183" s="5"/>
      <c r="B183" s="5"/>
      <c r="C183" s="5"/>
      <c r="D183" s="5"/>
      <c r="E183" s="5"/>
      <c r="F183" s="5"/>
      <c r="G183" s="5"/>
      <c r="H183" s="57"/>
      <c r="I183" s="57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"/>
      <c r="Z183" s="5"/>
      <c r="AA183" s="5"/>
      <c r="AB183" s="5"/>
      <c r="AC183" s="5"/>
    </row>
    <row r="184" spans="1:29" x14ac:dyDescent="0.2">
      <c r="A184" s="5"/>
      <c r="B184" s="5"/>
      <c r="C184" s="5"/>
      <c r="D184" s="5"/>
      <c r="E184" s="5"/>
      <c r="F184" s="5"/>
      <c r="G184" s="5"/>
      <c r="H184" s="57"/>
      <c r="I184" s="57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"/>
      <c r="Z184" s="5"/>
      <c r="AA184" s="5"/>
      <c r="AB184" s="5"/>
      <c r="AC184" s="5"/>
    </row>
    <row r="185" spans="1:29" x14ac:dyDescent="0.2">
      <c r="A185" s="5"/>
      <c r="B185" s="5"/>
      <c r="C185" s="5"/>
      <c r="D185" s="5"/>
      <c r="E185" s="5"/>
      <c r="F185" s="5"/>
      <c r="G185" s="5"/>
      <c r="H185" s="57"/>
      <c r="I185" s="57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"/>
      <c r="Z185" s="5"/>
      <c r="AA185" s="5"/>
      <c r="AB185" s="5"/>
      <c r="AC185" s="5"/>
    </row>
    <row r="186" spans="1:29" x14ac:dyDescent="0.2">
      <c r="A186" s="5"/>
      <c r="B186" s="5"/>
      <c r="C186" s="5"/>
      <c r="D186" s="5"/>
      <c r="E186" s="5"/>
      <c r="F186" s="5"/>
      <c r="G186" s="5"/>
      <c r="H186" s="57"/>
      <c r="I186" s="57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"/>
      <c r="Z186" s="5"/>
      <c r="AA186" s="5"/>
      <c r="AB186" s="5"/>
      <c r="AC186" s="5"/>
    </row>
    <row r="187" spans="1:29" x14ac:dyDescent="0.2">
      <c r="A187" s="5"/>
      <c r="B187" s="5"/>
      <c r="C187" s="5"/>
      <c r="D187" s="5"/>
      <c r="E187" s="5"/>
      <c r="F187" s="5"/>
      <c r="G187" s="5"/>
      <c r="H187" s="57"/>
      <c r="I187" s="57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"/>
      <c r="Z187" s="5"/>
      <c r="AA187" s="5"/>
      <c r="AB187" s="5"/>
      <c r="AC187" s="5"/>
    </row>
    <row r="188" spans="1:29" x14ac:dyDescent="0.2">
      <c r="A188" s="5"/>
      <c r="B188" s="5"/>
      <c r="C188" s="5"/>
      <c r="D188" s="5"/>
      <c r="E188" s="5"/>
      <c r="F188" s="5"/>
      <c r="G188" s="5"/>
      <c r="H188" s="57"/>
      <c r="I188" s="57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"/>
      <c r="Z188" s="5"/>
      <c r="AA188" s="5"/>
      <c r="AB188" s="5"/>
      <c r="AC188" s="5"/>
    </row>
    <row r="189" spans="1:29" x14ac:dyDescent="0.2">
      <c r="A189" s="5"/>
      <c r="B189" s="5"/>
      <c r="C189" s="5"/>
      <c r="D189" s="5"/>
      <c r="E189" s="5"/>
      <c r="F189" s="5"/>
      <c r="G189" s="5"/>
      <c r="H189" s="57"/>
      <c r="I189" s="57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"/>
      <c r="Z189" s="5"/>
      <c r="AA189" s="5"/>
      <c r="AB189" s="5"/>
      <c r="AC189" s="5"/>
    </row>
    <row r="190" spans="1:29" x14ac:dyDescent="0.2">
      <c r="A190" s="5"/>
      <c r="B190" s="5"/>
      <c r="C190" s="5"/>
      <c r="D190" s="5"/>
      <c r="E190" s="5"/>
      <c r="F190" s="5"/>
      <c r="G190" s="5"/>
      <c r="H190" s="57"/>
      <c r="I190" s="57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"/>
      <c r="Z190" s="5"/>
      <c r="AA190" s="5"/>
      <c r="AB190" s="5"/>
      <c r="AC190" s="5"/>
    </row>
    <row r="191" spans="1:29" x14ac:dyDescent="0.2">
      <c r="A191" s="5"/>
      <c r="B191" s="5"/>
      <c r="C191" s="5"/>
      <c r="D191" s="5"/>
      <c r="E191" s="5"/>
      <c r="F191" s="5"/>
      <c r="G191" s="5"/>
      <c r="H191" s="57"/>
      <c r="I191" s="57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"/>
      <c r="Z191" s="5"/>
      <c r="AA191" s="5"/>
      <c r="AB191" s="5"/>
      <c r="AC191" s="5"/>
    </row>
    <row r="192" spans="1:29" x14ac:dyDescent="0.2">
      <c r="A192" s="57"/>
      <c r="B192" s="57"/>
      <c r="C192" s="57"/>
      <c r="D192" s="57"/>
      <c r="E192" s="57"/>
      <c r="F192" s="57"/>
      <c r="G192" s="57"/>
      <c r="H192" s="58"/>
      <c r="I192" s="59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"/>
      <c r="Z192" s="5"/>
      <c r="AA192" s="5"/>
      <c r="AB192" s="5"/>
      <c r="AC192" s="5"/>
    </row>
    <row r="193" spans="1:29" x14ac:dyDescent="0.2">
      <c r="A193" s="57"/>
      <c r="B193" s="57"/>
      <c r="C193" s="57"/>
      <c r="D193" s="57"/>
      <c r="E193" s="57"/>
      <c r="F193" s="57"/>
      <c r="G193" s="57"/>
      <c r="H193" s="57"/>
      <c r="I193" s="57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"/>
      <c r="Z193" s="5"/>
      <c r="AA193" s="5"/>
      <c r="AB193" s="5"/>
      <c r="AC193" s="5"/>
    </row>
    <row r="194" spans="1:29" x14ac:dyDescent="0.2">
      <c r="A194" s="57"/>
      <c r="B194" s="57"/>
      <c r="C194" s="57"/>
      <c r="D194" s="57"/>
      <c r="E194" s="57"/>
      <c r="F194" s="57"/>
      <c r="G194" s="57"/>
      <c r="H194" s="57"/>
      <c r="I194" s="57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"/>
      <c r="Z194" s="5"/>
      <c r="AA194" s="5"/>
      <c r="AB194" s="5"/>
      <c r="AC194" s="5"/>
    </row>
    <row r="195" spans="1:29" x14ac:dyDescent="0.2">
      <c r="A195" s="57"/>
      <c r="B195" s="57"/>
      <c r="C195" s="57"/>
      <c r="D195" s="57"/>
      <c r="E195" s="57"/>
      <c r="F195" s="57"/>
      <c r="G195" s="57"/>
      <c r="H195" s="57"/>
      <c r="I195" s="57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"/>
      <c r="Z195" s="5"/>
      <c r="AA195" s="5"/>
      <c r="AB195" s="5"/>
      <c r="AC195" s="5"/>
    </row>
    <row r="196" spans="1:29" x14ac:dyDescent="0.2">
      <c r="A196" s="57"/>
      <c r="B196" s="57"/>
      <c r="C196" s="57"/>
      <c r="D196" s="57"/>
      <c r="E196" s="57"/>
      <c r="F196" s="57"/>
      <c r="G196" s="57"/>
      <c r="H196" s="57"/>
      <c r="I196" s="57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"/>
      <c r="Z196" s="5"/>
      <c r="AA196" s="5"/>
      <c r="AB196" s="5"/>
      <c r="AC196" s="5"/>
    </row>
    <row r="197" spans="1:29" x14ac:dyDescent="0.2">
      <c r="A197" s="57"/>
      <c r="B197" s="57"/>
      <c r="C197" s="57"/>
      <c r="D197" s="57"/>
      <c r="E197" s="57"/>
      <c r="F197" s="57"/>
      <c r="G197" s="57"/>
      <c r="H197" s="5"/>
      <c r="I197" s="5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"/>
      <c r="Z197" s="5"/>
      <c r="AA197" s="5"/>
      <c r="AB197" s="5"/>
      <c r="AC197" s="5"/>
    </row>
    <row r="198" spans="1:29" ht="18.75" customHeight="1" x14ac:dyDescent="0.3">
      <c r="A198" s="60"/>
      <c r="B198" s="5"/>
      <c r="C198" s="5"/>
      <c r="D198" s="5"/>
      <c r="E198" s="5"/>
      <c r="F198" s="5"/>
      <c r="G198" s="5"/>
      <c r="H198" s="5"/>
      <c r="I198" s="5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"/>
      <c r="Z198" s="5"/>
      <c r="AA198" s="5"/>
      <c r="AB198" s="5"/>
      <c r="AC198" s="5"/>
    </row>
    <row r="199" spans="1:29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"/>
      <c r="Z199" s="5"/>
      <c r="AA199" s="5"/>
      <c r="AB199" s="5"/>
      <c r="AC199" s="5"/>
    </row>
    <row r="200" spans="1:29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"/>
      <c r="Z200" s="5"/>
      <c r="AA200" s="5"/>
      <c r="AB200" s="5"/>
      <c r="AC200" s="5"/>
    </row>
    <row r="201" spans="1:29" x14ac:dyDescent="0.2">
      <c r="A201" s="5"/>
      <c r="B201" s="5"/>
      <c r="C201" s="5"/>
      <c r="D201" s="5"/>
      <c r="E201" s="5"/>
      <c r="F201" s="5"/>
      <c r="G201" s="5"/>
      <c r="H201" s="5"/>
      <c r="I201" s="61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"/>
      <c r="Z201" s="5"/>
      <c r="AA201" s="5"/>
      <c r="AB201" s="5"/>
      <c r="AC201" s="5"/>
    </row>
    <row r="202" spans="1:29" x14ac:dyDescent="0.2">
      <c r="A202" s="5"/>
      <c r="B202" s="5"/>
      <c r="C202" s="5"/>
      <c r="D202" s="5"/>
      <c r="E202" s="5"/>
      <c r="F202" s="5"/>
      <c r="G202" s="5"/>
      <c r="H202" s="5"/>
      <c r="I202" s="61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"/>
      <c r="Z202" s="5"/>
      <c r="AA202" s="5"/>
      <c r="AB202" s="5"/>
      <c r="AC202" s="5"/>
    </row>
    <row r="203" spans="1:29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"/>
      <c r="Z203" s="5"/>
      <c r="AA203" s="5"/>
      <c r="AB203" s="5"/>
      <c r="AC203" s="5"/>
    </row>
    <row r="204" spans="1:29" x14ac:dyDescent="0.2">
      <c r="A204" s="57"/>
      <c r="B204" s="57"/>
      <c r="C204" s="5"/>
      <c r="D204" s="5"/>
      <c r="E204" s="5"/>
      <c r="F204" s="5"/>
      <c r="G204" s="5"/>
      <c r="H204" s="5"/>
      <c r="I204" s="5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"/>
      <c r="Z204" s="5"/>
      <c r="AA204" s="5"/>
      <c r="AB204" s="5"/>
      <c r="AC204" s="5"/>
    </row>
    <row r="205" spans="1:29" x14ac:dyDescent="0.2">
      <c r="A205" s="57"/>
      <c r="B205" s="57"/>
      <c r="C205" s="5"/>
      <c r="D205" s="5"/>
      <c r="E205" s="5"/>
      <c r="F205" s="5"/>
      <c r="G205" s="5"/>
      <c r="H205" s="5"/>
      <c r="I205" s="5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"/>
      <c r="Z205" s="5"/>
      <c r="AA205" s="5"/>
      <c r="AB205" s="5"/>
      <c r="AC205" s="5"/>
    </row>
    <row r="206" spans="1:29" x14ac:dyDescent="0.2">
      <c r="A206" s="57"/>
      <c r="B206" s="57"/>
      <c r="C206" s="5"/>
      <c r="D206" s="5"/>
      <c r="E206" s="5"/>
      <c r="F206" s="5"/>
      <c r="G206" s="5"/>
      <c r="H206" s="57"/>
      <c r="I206" s="57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"/>
      <c r="Z206" s="5"/>
      <c r="AA206" s="5"/>
      <c r="AB206" s="5"/>
      <c r="AC206" s="5"/>
    </row>
    <row r="207" spans="1:29" x14ac:dyDescent="0.2">
      <c r="A207" s="57"/>
      <c r="B207" s="62"/>
      <c r="C207" s="57"/>
      <c r="D207" s="57"/>
      <c r="E207" s="57"/>
      <c r="F207" s="57"/>
      <c r="G207" s="57"/>
      <c r="H207" s="57"/>
      <c r="I207" s="57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"/>
      <c r="Z207" s="5"/>
      <c r="AA207" s="5"/>
      <c r="AB207" s="5"/>
      <c r="AC207" s="5"/>
    </row>
    <row r="208" spans="1:29" x14ac:dyDescent="0.2">
      <c r="A208" s="57"/>
      <c r="B208" s="57"/>
      <c r="C208" s="57"/>
      <c r="D208" s="57"/>
      <c r="E208" s="57"/>
      <c r="F208" s="57"/>
      <c r="G208" s="57"/>
      <c r="H208" s="57"/>
      <c r="I208" s="57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"/>
      <c r="Z208" s="5"/>
      <c r="AA208" s="5"/>
      <c r="AB208" s="5"/>
      <c r="AC208" s="5"/>
    </row>
    <row r="209" spans="1:29" x14ac:dyDescent="0.2">
      <c r="A209" s="57"/>
      <c r="B209" s="57"/>
      <c r="C209" s="57"/>
      <c r="D209" s="57"/>
      <c r="E209" s="57"/>
      <c r="F209" s="57"/>
      <c r="G209" s="57"/>
      <c r="H209" s="5"/>
      <c r="I209" s="5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"/>
      <c r="Z209" s="5"/>
      <c r="AA209" s="5"/>
      <c r="AB209" s="5"/>
      <c r="AC209" s="5"/>
    </row>
    <row r="210" spans="1:29" ht="20.25" customHeight="1" x14ac:dyDescent="0.3">
      <c r="A210" s="63"/>
      <c r="B210" s="64"/>
      <c r="C210" s="64"/>
      <c r="D210" s="64"/>
      <c r="E210" s="5"/>
      <c r="F210" s="5"/>
      <c r="G210" s="5"/>
      <c r="H210" s="57"/>
      <c r="I210" s="57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"/>
      <c r="Z210" s="5"/>
      <c r="AA210" s="5"/>
      <c r="AB210" s="5"/>
      <c r="AC210" s="5"/>
    </row>
    <row r="211" spans="1:29" x14ac:dyDescent="0.2">
      <c r="A211" s="57"/>
      <c r="B211" s="57"/>
      <c r="C211" s="57"/>
      <c r="D211" s="57"/>
      <c r="E211" s="57"/>
      <c r="F211" s="57"/>
      <c r="G211" s="57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"/>
      <c r="Z211" s="5"/>
      <c r="AA211" s="5"/>
      <c r="AB211" s="5"/>
      <c r="AC211" s="5"/>
    </row>
    <row r="212" spans="1:29" x14ac:dyDescent="0.2">
      <c r="A212" s="57"/>
      <c r="B212" s="65"/>
      <c r="C212" s="65"/>
      <c r="D212" s="65"/>
      <c r="E212" s="65"/>
      <c r="F212" s="65"/>
      <c r="G212" s="65"/>
      <c r="H212" s="6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"/>
      <c r="Z212" s="5"/>
      <c r="AA212" s="5"/>
      <c r="AB212" s="5"/>
      <c r="AC212" s="5"/>
    </row>
    <row r="213" spans="1:29" x14ac:dyDescent="0.2">
      <c r="A213" s="57"/>
      <c r="B213" s="5"/>
      <c r="C213" s="5"/>
      <c r="D213" s="5"/>
      <c r="E213" s="5"/>
      <c r="F213" s="5"/>
      <c r="G213" s="5"/>
      <c r="H213" s="5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"/>
      <c r="Z213" s="5"/>
      <c r="AA213" s="5"/>
      <c r="AB213" s="5"/>
      <c r="AC213" s="5"/>
    </row>
    <row r="214" spans="1:29" x14ac:dyDescent="0.2">
      <c r="A214" s="57"/>
      <c r="B214" s="5"/>
      <c r="C214" s="5"/>
      <c r="D214" s="5"/>
      <c r="E214" s="5"/>
      <c r="F214" s="5"/>
      <c r="G214" s="5"/>
      <c r="H214" s="5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"/>
      <c r="Z214" s="5"/>
      <c r="AA214" s="5"/>
      <c r="AB214" s="5"/>
      <c r="AC214" s="5"/>
    </row>
    <row r="215" spans="1:29" x14ac:dyDescent="0.2">
      <c r="A215" s="57"/>
      <c r="B215" s="5"/>
      <c r="C215" s="5"/>
      <c r="D215" s="5"/>
      <c r="E215" s="5"/>
      <c r="F215" s="5"/>
      <c r="G215" s="5"/>
      <c r="H215" s="5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"/>
      <c r="Z215" s="5"/>
      <c r="AA215" s="5"/>
      <c r="AB215" s="5"/>
      <c r="AC215" s="5"/>
    </row>
    <row r="216" spans="1:29" x14ac:dyDescent="0.2">
      <c r="A216" s="57"/>
      <c r="B216" s="5"/>
      <c r="C216" s="67"/>
      <c r="D216" s="67"/>
      <c r="E216" s="67"/>
      <c r="F216" s="67"/>
      <c r="G216" s="67"/>
      <c r="H216" s="67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"/>
      <c r="Z216" s="5"/>
      <c r="AA216" s="5"/>
      <c r="AB216" s="5"/>
      <c r="AC216" s="5"/>
    </row>
    <row r="217" spans="1:29" x14ac:dyDescent="0.2">
      <c r="A217" s="5"/>
      <c r="B217" s="5"/>
      <c r="C217" s="67"/>
      <c r="D217" s="67"/>
      <c r="E217" s="67"/>
      <c r="F217" s="67"/>
      <c r="G217" s="67"/>
      <c r="H217" s="67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"/>
      <c r="Z217" s="5"/>
      <c r="AA217" s="5"/>
      <c r="AB217" s="5"/>
      <c r="AC217" s="5"/>
    </row>
    <row r="218" spans="1:29" x14ac:dyDescent="0.2">
      <c r="A218" s="5"/>
      <c r="B218" s="5"/>
      <c r="C218" s="67"/>
      <c r="D218" s="67"/>
      <c r="E218" s="67"/>
      <c r="F218" s="67"/>
      <c r="G218" s="67"/>
      <c r="H218" s="67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"/>
      <c r="Z218" s="5"/>
      <c r="AA218" s="5"/>
      <c r="AB218" s="5"/>
      <c r="AC218" s="5"/>
    </row>
    <row r="219" spans="1:29" x14ac:dyDescent="0.2">
      <c r="A219" s="5"/>
      <c r="B219" s="5"/>
      <c r="C219" s="67"/>
      <c r="D219" s="67"/>
      <c r="E219" s="67"/>
      <c r="F219" s="67"/>
      <c r="G219" s="67"/>
      <c r="H219" s="67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"/>
      <c r="Z219" s="5"/>
      <c r="AA219" s="5"/>
      <c r="AB219" s="5"/>
      <c r="AC219" s="5"/>
    </row>
    <row r="220" spans="1:29" x14ac:dyDescent="0.2">
      <c r="A220" s="5"/>
      <c r="B220" s="5"/>
      <c r="C220" s="67"/>
      <c r="D220" s="67"/>
      <c r="E220" s="67"/>
      <c r="F220" s="67"/>
      <c r="G220" s="67"/>
      <c r="H220" s="67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"/>
      <c r="Z220" s="5"/>
      <c r="AA220" s="5"/>
      <c r="AB220" s="5"/>
      <c r="AC220" s="5"/>
    </row>
    <row r="221" spans="1:29" x14ac:dyDescent="0.2">
      <c r="A221" s="5"/>
      <c r="B221" s="5"/>
      <c r="C221" s="67"/>
      <c r="D221" s="67"/>
      <c r="E221" s="67"/>
      <c r="F221" s="67"/>
      <c r="G221" s="67"/>
      <c r="H221" s="2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"/>
      <c r="Z221" s="5"/>
      <c r="AA221" s="5"/>
      <c r="AB221" s="5"/>
      <c r="AC221" s="5"/>
    </row>
    <row r="222" spans="1:29" x14ac:dyDescent="0.2">
      <c r="A222" s="5"/>
      <c r="B222" s="5"/>
      <c r="C222" s="67"/>
      <c r="D222" s="67"/>
      <c r="E222" s="67"/>
      <c r="F222" s="67"/>
      <c r="G222" s="67"/>
      <c r="H222" s="67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"/>
      <c r="Z222" s="5"/>
      <c r="AA222" s="5"/>
      <c r="AB222" s="5"/>
      <c r="AC222" s="5"/>
    </row>
    <row r="223" spans="1:29" x14ac:dyDescent="0.2">
      <c r="A223" s="5"/>
      <c r="B223" s="5"/>
      <c r="C223" s="67"/>
      <c r="D223" s="67"/>
      <c r="E223" s="67"/>
      <c r="F223" s="67"/>
      <c r="G223" s="67"/>
      <c r="H223" s="67"/>
      <c r="I223" s="5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"/>
      <c r="Z223" s="5"/>
      <c r="AA223" s="5"/>
      <c r="AB223" s="5"/>
      <c r="AC223" s="5"/>
    </row>
    <row r="224" spans="1:29" x14ac:dyDescent="0.2">
      <c r="A224" s="68"/>
      <c r="B224" s="57"/>
      <c r="C224" s="67"/>
      <c r="D224" s="69"/>
      <c r="E224" s="67"/>
      <c r="F224" s="67"/>
      <c r="G224" s="67"/>
      <c r="H224" s="67"/>
      <c r="I224" s="5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"/>
      <c r="Z224" s="5"/>
      <c r="AA224" s="5"/>
      <c r="AB224" s="5"/>
      <c r="AC224" s="5"/>
    </row>
    <row r="225" spans="1:29" x14ac:dyDescent="0.2">
      <c r="A225" s="68"/>
      <c r="B225" s="57"/>
      <c r="C225" s="5"/>
      <c r="D225" s="70"/>
      <c r="E225" s="57"/>
      <c r="F225" s="57"/>
      <c r="G225" s="5"/>
      <c r="H225" s="5"/>
      <c r="I225" s="5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"/>
      <c r="Z225" s="5"/>
      <c r="AA225" s="5"/>
      <c r="AB225" s="5"/>
      <c r="AC225" s="5"/>
    </row>
    <row r="226" spans="1:29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"/>
      <c r="Z226" s="5"/>
      <c r="AA226" s="5"/>
      <c r="AB226" s="5"/>
      <c r="AC226" s="5"/>
    </row>
    <row r="227" spans="1:29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"/>
      <c r="Z227" s="5"/>
      <c r="AA227" s="5"/>
      <c r="AB227" s="5"/>
      <c r="AC227" s="5"/>
    </row>
    <row r="228" spans="1:29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"/>
      <c r="Z228" s="5"/>
      <c r="AA228" s="5"/>
      <c r="AB228" s="5"/>
      <c r="AC228" s="5"/>
    </row>
    <row r="229" spans="1:29" x14ac:dyDescent="0.2">
      <c r="A229" s="5"/>
      <c r="B229" s="5"/>
      <c r="C229" s="5"/>
      <c r="D229" s="5"/>
      <c r="E229" s="5"/>
      <c r="F229" s="5"/>
      <c r="G229" s="5"/>
      <c r="H229" s="57"/>
      <c r="I229" s="57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"/>
      <c r="Z229" s="5"/>
      <c r="AA229" s="5"/>
      <c r="AB229" s="5"/>
      <c r="AC229" s="5"/>
    </row>
    <row r="230" spans="1:29" x14ac:dyDescent="0.2">
      <c r="A230" s="57"/>
      <c r="B230" s="57"/>
      <c r="C230" s="57"/>
      <c r="D230" s="57"/>
      <c r="E230" s="57"/>
      <c r="F230" s="57"/>
      <c r="G230" s="57"/>
      <c r="H230" s="57"/>
      <c r="I230" s="57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"/>
      <c r="Z230" s="5"/>
      <c r="AA230" s="5"/>
      <c r="AB230" s="5"/>
      <c r="AC230" s="5"/>
    </row>
    <row r="231" spans="1:29" x14ac:dyDescent="0.2">
      <c r="A231" s="56"/>
      <c r="B231" s="56"/>
      <c r="C231" s="56"/>
      <c r="D231" s="56"/>
      <c r="E231" s="56"/>
      <c r="F231" s="56"/>
      <c r="G231" s="56"/>
      <c r="H231" s="56"/>
      <c r="I231" s="56"/>
    </row>
    <row r="232" spans="1:29" x14ac:dyDescent="0.2">
      <c r="I232" s="56"/>
    </row>
    <row r="233" spans="1:29" x14ac:dyDescent="0.2">
      <c r="I233" s="56"/>
    </row>
    <row r="234" spans="1:29" x14ac:dyDescent="0.2">
      <c r="A234" s="56"/>
      <c r="B234" s="56"/>
      <c r="C234" s="56"/>
      <c r="D234" s="56"/>
      <c r="E234" s="56"/>
      <c r="F234" s="56"/>
      <c r="G234" s="56"/>
      <c r="H234" s="56"/>
      <c r="I234" s="56"/>
    </row>
  </sheetData>
  <sheetProtection algorithmName="SHA-512" hashValue="D6d3MUygLTj3Ui3DNLtkLwlN6X1bPd5MjvPn+69MpS9oAaZR7k62OlQwIWO4VyUPwsYrnl/d4Y9kqboq7eF6dQ==" saltValue="sv1KyUqonidJvyn/gektbg==" spinCount="100000" sheet="1" objects="1" scenarios="1"/>
  <mergeCells count="26">
    <mergeCell ref="H24:H25"/>
    <mergeCell ref="A24:B24"/>
    <mergeCell ref="G4:H4"/>
    <mergeCell ref="H48:H49"/>
    <mergeCell ref="C7:D7"/>
    <mergeCell ref="G8:H8"/>
    <mergeCell ref="A25:B25"/>
    <mergeCell ref="G7:H7"/>
    <mergeCell ref="C6:D6"/>
    <mergeCell ref="G43:G44"/>
    <mergeCell ref="H43:H44"/>
    <mergeCell ref="G48:G49"/>
    <mergeCell ref="G13:G14"/>
    <mergeCell ref="G24:G25"/>
    <mergeCell ref="H13:H14"/>
    <mergeCell ref="A40:B40"/>
    <mergeCell ref="A39:B39"/>
    <mergeCell ref="E52:F52"/>
    <mergeCell ref="E54:F55"/>
    <mergeCell ref="A41:B41"/>
    <mergeCell ref="A42:B42"/>
    <mergeCell ref="G54:H55"/>
    <mergeCell ref="G53:H53"/>
    <mergeCell ref="A54:B55"/>
    <mergeCell ref="C54:D55"/>
    <mergeCell ref="E53:F53"/>
  </mergeCells>
  <pageMargins left="0.7" right="0.7" top="0.75" bottom="0.75" header="0.3" footer="0.3"/>
  <pageSetup paperSize="9" scale="96" orientation="portrait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c81d46-ab6c-40c2-9103-718dbfc5d92f">
      <Terms xmlns="http://schemas.microsoft.com/office/infopath/2007/PartnerControls"/>
    </lcf76f155ced4ddcb4097134ff3c332f>
    <TaxCatchAll xmlns="2c16a5c2-da3d-4a88-9eb4-af94baf8d6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DC7DF550A194291A68068798D18B4" ma:contentTypeVersion="12" ma:contentTypeDescription="Skapa ett nytt dokument." ma:contentTypeScope="" ma:versionID="d9ded96e54e93a2b36956ddb067f2920">
  <xsd:schema xmlns:xsd="http://www.w3.org/2001/XMLSchema" xmlns:xs="http://www.w3.org/2001/XMLSchema" xmlns:p="http://schemas.microsoft.com/office/2006/metadata/properties" xmlns:ns2="4bc81d46-ab6c-40c2-9103-718dbfc5d92f" xmlns:ns3="2c16a5c2-da3d-4a88-9eb4-af94baf8d67b" targetNamespace="http://schemas.microsoft.com/office/2006/metadata/properties" ma:root="true" ma:fieldsID="1b53f10c246aa1fea79f6db23a9a2699" ns2:_="" ns3:_="">
    <xsd:import namespace="4bc81d46-ab6c-40c2-9103-718dbfc5d92f"/>
    <xsd:import namespace="2c16a5c2-da3d-4a88-9eb4-af94baf8d6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81d46-ab6c-40c2-9103-718dbfc5d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6a5c2-da3d-4a88-9eb4-af94baf8d6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56ef1-c9de-4aa7-a61c-10858b36471a}" ma:internalName="TaxCatchAll" ma:showField="CatchAllData" ma:web="2c16a5c2-da3d-4a88-9eb4-af94baf8d6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769F5-7B10-4D40-85BC-4AA80CD36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B75AB-8503-4888-8B75-CE89E804A7EC}">
  <ds:schemaRefs>
    <ds:schemaRef ds:uri="http://schemas.microsoft.com/office/2006/metadata/properties"/>
    <ds:schemaRef ds:uri="http://schemas.microsoft.com/office/infopath/2007/PartnerControls"/>
    <ds:schemaRef ds:uri="4bc81d46-ab6c-40c2-9103-718dbfc5d92f"/>
    <ds:schemaRef ds:uri="2c16a5c2-da3d-4a88-9eb4-af94baf8d67b"/>
  </ds:schemaRefs>
</ds:datastoreItem>
</file>

<file path=customXml/itemProps3.xml><?xml version="1.0" encoding="utf-8"?>
<ds:datastoreItem xmlns:ds="http://schemas.openxmlformats.org/officeDocument/2006/customXml" ds:itemID="{F1E00D50-2D21-4AC5-AE03-306A536EA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81d46-ab6c-40c2-9103-718dbfc5d92f"/>
    <ds:schemaRef ds:uri="2c16a5c2-da3d-4a88-9eb4-af94baf8d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4</vt:i4>
      </vt:variant>
    </vt:vector>
  </HeadingPairs>
  <TitlesOfParts>
    <vt:vector size="10" baseType="lpstr">
      <vt:lpstr>Produktionskostnadskalkyl</vt:lpstr>
      <vt:lpstr>Tillval</vt:lpstr>
      <vt:lpstr>Blad1</vt:lpstr>
      <vt:lpstr>Bokalkyl</vt:lpstr>
      <vt:lpstr>Driftkostnad</vt:lpstr>
      <vt:lpstr>Kalkyl kontroll</vt:lpstr>
      <vt:lpstr>Bokalkyl!Utskriftsområde</vt:lpstr>
      <vt:lpstr>'Kalkyl kontroll'!Utskriftsområde</vt:lpstr>
      <vt:lpstr>Produktionskostnadskalkyl!Utskriftsområde</vt:lpstr>
      <vt:lpstr>Tillval!Utskriftsområde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Pettersson</dc:creator>
  <cp:keywords/>
  <dc:description/>
  <cp:lastModifiedBy>Erica Bernardin</cp:lastModifiedBy>
  <cp:revision/>
  <cp:lastPrinted>2026-05-22T12:53:59Z</cp:lastPrinted>
  <dcterms:created xsi:type="dcterms:W3CDTF">2012-12-19T10:00:16Z</dcterms:created>
  <dcterms:modified xsi:type="dcterms:W3CDTF">2026-05-25T08:02:44Z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DatumoTid">
    <vt:lpwstr/>
  </property>
  <property fmtid="{D5CDD505-2E9C-101B-9397-08002B2CF9AE}" pid="5" name="ContentTypeId">
    <vt:lpwstr>0x010100118DC7DF550A194291A68068798D18B4</vt:lpwstr>
  </property>
  <property fmtid="{D5CDD505-2E9C-101B-9397-08002B2CF9AE}" pid="6" name="_activity">
    <vt:lpwstr/>
  </property>
  <property fmtid="{D5CDD505-2E9C-101B-9397-08002B2CF9AE}" pid="7" name="MediaServiceImageTags">
    <vt:lpwstr/>
  </property>
</Properties>
</file>