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bosonline-my.sharepoint.com/personal/annica_stark_obos_se/Documents/Skrivebord/"/>
    </mc:Choice>
  </mc:AlternateContent>
  <xr:revisionPtr revIDLastSave="0" documentId="8_{3C8192C7-4DDC-49B5-AD01-53968A1CC3DA}" xr6:coauthVersionLast="47" xr6:coauthVersionMax="47" xr10:uidLastSave="{00000000-0000-0000-0000-000000000000}"/>
  <bookViews>
    <workbookView xWindow="4290" yWindow="4290" windowWidth="28800" windowHeight="15225" tabRatio="805" xr2:uid="{00000000-000D-0000-FFFF-FFFF00000000}"/>
  </bookViews>
  <sheets>
    <sheet name="Kalkyl-Total" sheetId="1" r:id="rId1"/>
    <sheet name="Kalkyl-Tillval" sheetId="2" r:id="rId2"/>
    <sheet name="Kalkyl-Drift" sheetId="4" r:id="rId3"/>
    <sheet name="Kalkyl-Boende" sheetId="3" r:id="rId4"/>
    <sheet name="Intresseanmälan-Bank" sheetId="7" r:id="rId5"/>
    <sheet name="Blad1" sheetId="9" state="hidden" r:id="rId6"/>
  </sheets>
  <definedNames>
    <definedName name="Handtag1">#REF!</definedName>
    <definedName name="Handtag2">#REF!</definedName>
    <definedName name="Handtag3">#REF!</definedName>
    <definedName name="_xlnm.Print_Area" localSheetId="3">'Kalkyl-Boende'!$A$1:$H$59</definedName>
    <definedName name="_xlnm.Print_Area" localSheetId="2">'Kalkyl-Drift'!$A$1:$I$54</definedName>
    <definedName name="_xlnm.Print_Area" localSheetId="1">'Kalkyl-Tillval'!$A$1:$H$47</definedName>
    <definedName name="_xlnm.Print_Area" localSheetId="0">'Kalkyl-Total'!$A$1:$I$56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9" l="1"/>
  <c r="F23" i="9" s="1"/>
  <c r="X9" i="3"/>
  <c r="AE45" i="3" s="1"/>
  <c r="P32" i="3"/>
  <c r="R32" i="3"/>
  <c r="G5" i="9"/>
  <c r="F22" i="9"/>
  <c r="E35" i="3"/>
  <c r="E34" i="3"/>
  <c r="J12" i="3"/>
  <c r="M4" i="7"/>
  <c r="F40" i="7"/>
  <c r="F44" i="7"/>
  <c r="L45" i="7"/>
  <c r="H6" i="3"/>
  <c r="I3" i="4" s="1"/>
  <c r="A11" i="3"/>
  <c r="B72" i="3" s="1"/>
  <c r="C11" i="3"/>
  <c r="G11" i="3"/>
  <c r="B74" i="3"/>
  <c r="W11" i="3"/>
  <c r="Y16" i="3"/>
  <c r="A13" i="3"/>
  <c r="B73" i="3"/>
  <c r="C13" i="3"/>
  <c r="A16" i="3"/>
  <c r="E72" i="3" s="1"/>
  <c r="D16" i="3"/>
  <c r="F7" i="4" s="1"/>
  <c r="F16" i="3"/>
  <c r="F9" i="4" s="1"/>
  <c r="F18" i="3"/>
  <c r="B78" i="3" s="1"/>
  <c r="H22" i="3"/>
  <c r="V22" i="3"/>
  <c r="Y17" i="3" s="1"/>
  <c r="W22" i="3"/>
  <c r="Z19" i="3" s="1"/>
  <c r="L23" i="3"/>
  <c r="L21" i="3"/>
  <c r="X42" i="3" s="1"/>
  <c r="X31" i="3"/>
  <c r="X33" i="3" s="1"/>
  <c r="Y31" i="3"/>
  <c r="Y33" i="3"/>
  <c r="Z32" i="3"/>
  <c r="X34" i="3"/>
  <c r="Y34" i="3"/>
  <c r="S36" i="3"/>
  <c r="Z38" i="3"/>
  <c r="W41" i="3"/>
  <c r="H42" i="3"/>
  <c r="H43" i="3"/>
  <c r="O46" i="3"/>
  <c r="O50" i="3"/>
  <c r="K47" i="3"/>
  <c r="Q48" i="3"/>
  <c r="R49" i="3"/>
  <c r="R48" i="3"/>
  <c r="R50" i="3"/>
  <c r="O51" i="3"/>
  <c r="O55" i="3" s="1"/>
  <c r="Z51" i="3"/>
  <c r="K52" i="3"/>
  <c r="A59" i="3"/>
  <c r="A102" i="3"/>
  <c r="H64" i="3"/>
  <c r="H72" i="3"/>
  <c r="H73" i="3"/>
  <c r="B84" i="3"/>
  <c r="C84" i="3" s="1"/>
  <c r="D84" i="3" s="1"/>
  <c r="E84" i="3" s="1"/>
  <c r="F84" i="3" s="1"/>
  <c r="G84" i="3" s="1"/>
  <c r="N88" i="3"/>
  <c r="L90" i="3"/>
  <c r="L91" i="3" s="1"/>
  <c r="L92" i="3" s="1"/>
  <c r="L93" i="3" s="1"/>
  <c r="L94" i="3" s="1"/>
  <c r="A5" i="4"/>
  <c r="A6" i="4"/>
  <c r="F6" i="4"/>
  <c r="A7" i="4"/>
  <c r="A8" i="4"/>
  <c r="A9" i="4"/>
  <c r="I17" i="4"/>
  <c r="I19" i="4"/>
  <c r="I20" i="4"/>
  <c r="A54" i="4"/>
  <c r="C6" i="2"/>
  <c r="A7" i="2"/>
  <c r="C7" i="2"/>
  <c r="F7" i="2"/>
  <c r="H7" i="2"/>
  <c r="A9" i="2"/>
  <c r="C9" i="2"/>
  <c r="F9" i="2"/>
  <c r="H46" i="2"/>
  <c r="F12" i="1" s="1"/>
  <c r="F14" i="1" s="1"/>
  <c r="A47" i="2"/>
  <c r="D14" i="1"/>
  <c r="E14" i="1"/>
  <c r="D24" i="1"/>
  <c r="E24" i="1"/>
  <c r="F24" i="1"/>
  <c r="D26" i="1"/>
  <c r="D41" i="1" s="1"/>
  <c r="E26" i="1"/>
  <c r="E41" i="1" s="1"/>
  <c r="F26" i="1"/>
  <c r="F41" i="1" s="1"/>
  <c r="D46" i="1"/>
  <c r="F46" i="1"/>
  <c r="D51" i="1"/>
  <c r="G51" i="1"/>
  <c r="E51" i="1"/>
  <c r="F51" i="1"/>
  <c r="Y18" i="3"/>
  <c r="Z16" i="3"/>
  <c r="R51" i="3"/>
  <c r="Z20" i="3"/>
  <c r="S32" i="3"/>
  <c r="R53" i="3"/>
  <c r="R52" i="3"/>
  <c r="P33" i="3"/>
  <c r="P34" i="3"/>
  <c r="P35" i="3"/>
  <c r="R35" i="3"/>
  <c r="R36" i="3"/>
  <c r="Z18" i="3"/>
  <c r="B88" i="3"/>
  <c r="C88" i="3" s="1"/>
  <c r="D88" i="3" s="1"/>
  <c r="E88" i="3" s="1"/>
  <c r="F88" i="3" s="1"/>
  <c r="G88" i="3" s="1"/>
  <c r="Q33" i="3"/>
  <c r="L22" i="3"/>
  <c r="Y42" i="3" s="1"/>
  <c r="Y43" i="3" s="1"/>
  <c r="S33" i="3"/>
  <c r="S34" i="3"/>
  <c r="R33" i="3"/>
  <c r="Y20" i="3"/>
  <c r="R34" i="3"/>
  <c r="Q36" i="3"/>
  <c r="R37" i="3"/>
  <c r="R54" i="3"/>
  <c r="W23" i="3"/>
  <c r="Y36" i="3" s="1"/>
  <c r="Z34" i="3"/>
  <c r="P36" i="3"/>
  <c r="P37" i="3"/>
  <c r="AF45" i="3"/>
  <c r="AB39" i="3"/>
  <c r="AB38" i="3"/>
  <c r="AB41" i="3"/>
  <c r="AB42" i="3"/>
  <c r="AB40" i="3"/>
  <c r="S54" i="3"/>
  <c r="Z50" i="3"/>
  <c r="F48" i="7"/>
  <c r="G14" i="1" l="1"/>
  <c r="G24" i="1"/>
  <c r="I30" i="4"/>
  <c r="I32" i="4" s="1"/>
  <c r="R40" i="7" s="1"/>
  <c r="G41" i="1"/>
  <c r="K44" i="1" s="1"/>
  <c r="AC48" i="3"/>
  <c r="Y44" i="3" s="1"/>
  <c r="AF41" i="3"/>
  <c r="Z17" i="3"/>
  <c r="Y37" i="3"/>
  <c r="Y40" i="3" s="1"/>
  <c r="AF40" i="3"/>
  <c r="P55" i="3"/>
  <c r="AF38" i="3"/>
  <c r="Z33" i="3"/>
  <c r="F56" i="7"/>
  <c r="AF39" i="3"/>
  <c r="Z31" i="3"/>
  <c r="AE30" i="3"/>
  <c r="Y19" i="3"/>
  <c r="Z42" i="3"/>
  <c r="X43" i="3"/>
  <c r="Z43" i="3" s="1"/>
  <c r="V23" i="3"/>
  <c r="AE38" i="3" s="1"/>
  <c r="B77" i="3"/>
  <c r="P50" i="3"/>
  <c r="E73" i="3"/>
  <c r="K42" i="1" l="1"/>
  <c r="H20" i="3"/>
  <c r="B79" i="3" s="1"/>
  <c r="E43" i="1"/>
  <c r="E44" i="1" s="1"/>
  <c r="Y41" i="3"/>
  <c r="Y39" i="3"/>
  <c r="Y45" i="3" s="1"/>
  <c r="Y46" i="3" s="1"/>
  <c r="Y48" i="3" s="1"/>
  <c r="M42" i="1"/>
  <c r="E42" i="1" s="1"/>
  <c r="AE39" i="3"/>
  <c r="AE41" i="3"/>
  <c r="X36" i="3"/>
  <c r="Z36" i="3" s="1"/>
  <c r="AE40" i="3"/>
  <c r="AE29" i="3"/>
  <c r="AE42" i="3" s="1"/>
  <c r="AB48" i="3" s="1"/>
  <c r="X44" i="3" s="1"/>
  <c r="Z44" i="3" s="1"/>
  <c r="E46" i="1" l="1"/>
  <c r="G46" i="1" s="1"/>
  <c r="H21" i="3" s="1"/>
  <c r="H23" i="3" s="1"/>
  <c r="H25" i="3" s="1"/>
  <c r="X37" i="3"/>
  <c r="X41" i="3" s="1"/>
  <c r="Z41" i="3" s="1"/>
  <c r="AF42" i="3"/>
  <c r="K49" i="3" l="1"/>
  <c r="H27" i="3"/>
  <c r="D34" i="3" s="1"/>
  <c r="K40" i="3"/>
  <c r="A7" i="7"/>
  <c r="F75" i="3"/>
  <c r="G89" i="3" s="1"/>
  <c r="G53" i="1"/>
  <c r="G3" i="9"/>
  <c r="G6" i="9" s="1"/>
  <c r="Z37" i="3"/>
  <c r="X40" i="3"/>
  <c r="Z40" i="3" s="1"/>
  <c r="X39" i="3"/>
  <c r="Z39" i="3" s="1"/>
  <c r="Z45" i="3" s="1"/>
  <c r="R42" i="7" s="1"/>
  <c r="R56" i="7" s="1"/>
  <c r="K38" i="3" l="1"/>
  <c r="K7" i="7"/>
  <c r="G2" i="9"/>
  <c r="F17" i="9" s="1"/>
  <c r="E30" i="3" s="1"/>
  <c r="D35" i="3"/>
  <c r="E23" i="9" s="1"/>
  <c r="A38" i="3"/>
  <c r="X45" i="3"/>
  <c r="X46" i="3" s="1"/>
  <c r="X48" i="3" s="1"/>
  <c r="H4" i="9" l="1"/>
  <c r="G12" i="9"/>
  <c r="D32" i="3" s="1"/>
  <c r="E19" i="9" s="1"/>
  <c r="H6" i="9"/>
  <c r="G7" i="9"/>
  <c r="G8" i="9" s="1"/>
  <c r="H8" i="9" s="1"/>
  <c r="D33" i="3" s="1"/>
  <c r="G17" i="9"/>
  <c r="Z46" i="3"/>
  <c r="Z48" i="3" s="1"/>
  <c r="F30" i="3"/>
  <c r="H7" i="9" l="1"/>
  <c r="G13" i="9"/>
  <c r="H17" i="9" s="1"/>
  <c r="I17" i="9" s="1"/>
  <c r="F18" i="9"/>
  <c r="F19" i="9" s="1"/>
  <c r="F20" i="9"/>
  <c r="E33" i="3" s="1"/>
  <c r="F33" i="3" s="1"/>
  <c r="G20" i="9" l="1"/>
  <c r="E31" i="3"/>
  <c r="F31" i="3" s="1"/>
  <c r="F32" i="3" s="1"/>
  <c r="F36" i="3" s="1"/>
  <c r="H45" i="3" s="1"/>
  <c r="G18" i="9"/>
  <c r="G19" i="9" s="1"/>
  <c r="D23" i="3"/>
  <c r="D22" i="3"/>
  <c r="G30" i="3" s="1"/>
  <c r="H30" i="3" s="1"/>
  <c r="H18" i="9"/>
  <c r="H19" i="9" s="1"/>
  <c r="F21" i="9"/>
  <c r="F24" i="9" s="1"/>
  <c r="H20" i="9"/>
  <c r="G33" i="3"/>
  <c r="H33" i="3" s="1"/>
  <c r="E32" i="3" l="1"/>
  <c r="AK37" i="3" s="1"/>
  <c r="H37" i="3" s="1"/>
  <c r="A37" i="3" s="1"/>
  <c r="G21" i="9"/>
  <c r="G24" i="9" s="1"/>
  <c r="I20" i="9"/>
  <c r="G31" i="3"/>
  <c r="H31" i="3" s="1"/>
  <c r="H32" i="3" s="1"/>
  <c r="H36" i="3" s="1"/>
  <c r="B86" i="3"/>
  <c r="B90" i="3" s="1"/>
  <c r="I18" i="9"/>
  <c r="I19" i="9" s="1"/>
  <c r="H21" i="9"/>
  <c r="H24" i="9" s="1"/>
  <c r="D31" i="3" l="1"/>
  <c r="B31" i="3" s="1"/>
  <c r="E36" i="3"/>
  <c r="H40" i="3"/>
  <c r="H44" i="3" s="1"/>
  <c r="H48" i="3" s="1"/>
  <c r="I21" i="9"/>
  <c r="I24" i="9" s="1"/>
  <c r="G32" i="3"/>
  <c r="G36" i="3" s="1"/>
  <c r="B85" i="3" s="1"/>
  <c r="B91" i="3" s="1"/>
  <c r="B92" i="3" s="1"/>
  <c r="H46" i="3" l="1"/>
  <c r="H49" i="3" s="1"/>
  <c r="C86" i="3"/>
  <c r="C90" i="3" s="1"/>
  <c r="H50" i="3"/>
  <c r="C85" i="3"/>
  <c r="D85" i="3" s="1"/>
  <c r="E85" i="3" s="1"/>
  <c r="D86" i="3"/>
  <c r="D90" i="3" s="1"/>
  <c r="E86" i="3"/>
  <c r="E90" i="3" s="1"/>
  <c r="B94" i="3"/>
  <c r="G86" i="3"/>
  <c r="G90" i="3" s="1"/>
  <c r="F86" i="3"/>
  <c r="F90" i="3" s="1"/>
  <c r="Z49" i="3" l="1"/>
  <c r="Z52" i="3" s="1"/>
  <c r="Z53" i="3" s="1"/>
  <c r="H51" i="3" s="1"/>
  <c r="C91" i="3"/>
  <c r="C92" i="3" s="1"/>
  <c r="C93" i="3" s="1"/>
  <c r="D91" i="3"/>
  <c r="D92" i="3" s="1"/>
  <c r="E91" i="3"/>
  <c r="F85" i="3"/>
  <c r="C94" i="3" l="1"/>
  <c r="D94" i="3"/>
  <c r="F91" i="3"/>
  <c r="G85" i="3"/>
  <c r="G91" i="3" s="1"/>
  <c r="E92" i="3"/>
  <c r="E93" i="3" s="1"/>
  <c r="E94" i="3"/>
  <c r="D93" i="3"/>
  <c r="G92" i="3" l="1"/>
  <c r="G94" i="3"/>
  <c r="F94" i="3"/>
  <c r="F92" i="3"/>
  <c r="G93" i="3" l="1"/>
  <c r="F9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6" authorId="0" shapeId="0" xr:uid="{00000000-0006-0000-0000-000001000000}">
      <text>
        <r>
          <rPr>
            <sz val="8"/>
            <color indexed="8"/>
            <rFont val="Times New Roman"/>
            <family val="1"/>
          </rPr>
          <t>Kontrollansvarig bekostas av byggherren</t>
        </r>
      </text>
    </comment>
    <comment ref="E42" authorId="0" shapeId="0" xr:uid="{00000000-0006-0000-0000-000002000000}">
      <text>
        <r>
          <rPr>
            <sz val="8"/>
            <color indexed="8"/>
            <rFont val="Times New Roman"/>
            <family val="1"/>
          </rPr>
          <t>Pantbrevskostnad =
total prod.kostnad minus
kontaninsats</t>
        </r>
      </text>
    </comment>
    <comment ref="E43" authorId="0" shapeId="0" xr:uid="{00000000-0006-0000-0000-000003000000}">
      <text>
        <r>
          <rPr>
            <sz val="8"/>
            <color indexed="8"/>
            <rFont val="Times New Roman"/>
            <family val="1"/>
          </rPr>
          <t>Sätt in rätt kreditivränta
räntekostnad för tomt  i 3 månader och för grund o hus i 2 mån.
Direkt insatt kontant del påverkar kred. räntan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magnus.hoffner</author>
  </authors>
  <commentList>
    <comment ref="A18" authorId="0" shapeId="0" xr:uid="{00000000-0006-0000-0300-000001000000}">
      <text>
        <r>
          <rPr>
            <sz val="8"/>
            <color indexed="8"/>
            <rFont val="Times New Roman"/>
            <family val="1"/>
          </rPr>
          <t xml:space="preserve">Här kan ni lägga in Era olika kommuners kommunalskatt.
</t>
        </r>
      </text>
    </comment>
    <comment ref="C18" authorId="0" shapeId="0" xr:uid="{00000000-0006-0000-0300-000002000000}">
      <text>
        <r>
          <rPr>
            <b/>
            <sz val="8"/>
            <color indexed="8"/>
            <rFont val="Times New Roman"/>
            <family val="1"/>
          </rPr>
          <t xml:space="preserve">Styr driftskostnaden:
</t>
        </r>
        <r>
          <rPr>
            <sz val="8"/>
            <color indexed="8"/>
            <rFont val="Times New Roman"/>
            <family val="1"/>
          </rPr>
          <t xml:space="preserve">BRA upp till 124 kvm  = 18.000 kr
BRA 125 kvm och större= 20.000 kr
</t>
        </r>
        <r>
          <rPr>
            <b/>
            <sz val="8"/>
            <color indexed="8"/>
            <rFont val="Times New Roman"/>
            <family val="1"/>
          </rPr>
          <t xml:space="preserve">Styr även analysen! </t>
        </r>
      </text>
    </comment>
    <comment ref="H26" authorId="1" shapeId="0" xr:uid="{00000000-0006-0000-0300-000003000000}">
      <text>
        <r>
          <rPr>
            <sz val="8"/>
            <color indexed="81"/>
            <rFont val="Tahoma"/>
            <family val="2"/>
          </rPr>
          <t xml:space="preserve">Fyll i värdet av egen insats, dvs vad kunden sparar på ex. målning, spackling/tapetsering </t>
        </r>
      </text>
    </comment>
    <comment ref="D32" authorId="0" shapeId="0" xr:uid="{00000000-0006-0000-0300-000004000000}">
      <text>
        <r>
          <rPr>
            <b/>
            <sz val="8"/>
            <color indexed="8"/>
            <rFont val="Times New Roman"/>
            <family val="1"/>
          </rPr>
          <t xml:space="preserve">Ange kreditgivarens belåningsgrad för bottenlån.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9" authorId="0" shapeId="0" xr:uid="{00000000-0006-0000-0500-000001000000}">
      <text>
        <r>
          <rPr>
            <b/>
            <sz val="8"/>
            <color indexed="8"/>
            <rFont val="Times New Roman"/>
            <family val="1"/>
          </rPr>
          <t xml:space="preserve">Ange kreditgivarens belåningsgrad för bottenlån.
</t>
        </r>
      </text>
    </comment>
  </commentList>
</comments>
</file>

<file path=xl/sharedStrings.xml><?xml version="1.0" encoding="utf-8"?>
<sst xmlns="http://schemas.openxmlformats.org/spreadsheetml/2006/main" count="478" uniqueCount="396">
  <si>
    <t>UNDERLAG FÖR KALKYL</t>
  </si>
  <si>
    <t>Upprättad av</t>
  </si>
  <si>
    <t>Köpare</t>
  </si>
  <si>
    <t>Person nummer</t>
  </si>
  <si>
    <t>Fastighetsbeteckning</t>
  </si>
  <si>
    <t>Datum</t>
  </si>
  <si>
    <t xml:space="preserve">Erica Bernardin           </t>
  </si>
  <si>
    <t xml:space="preserve">                   </t>
  </si>
  <si>
    <t xml:space="preserve">                </t>
  </si>
  <si>
    <t>Hustyp</t>
  </si>
  <si>
    <t>Sidobyggnad</t>
  </si>
  <si>
    <t>Kommun</t>
  </si>
  <si>
    <t xml:space="preserve"> </t>
  </si>
  <si>
    <t xml:space="preserve">Köparens </t>
  </si>
  <si>
    <t>Säljarens pris/</t>
  </si>
  <si>
    <t>Anm/specifikation</t>
  </si>
  <si>
    <t>Kalkyl-</t>
  </si>
  <si>
    <t>KOSTNAD FÖR</t>
  </si>
  <si>
    <t>uppgifter</t>
  </si>
  <si>
    <t>skriftliga anbud</t>
  </si>
  <si>
    <t>(ev detaljer i bilaga)</t>
  </si>
  <si>
    <t>kontroll</t>
  </si>
  <si>
    <t>Hus i utgångsstandard</t>
  </si>
  <si>
    <t>Tillval och utbyten</t>
  </si>
  <si>
    <t>Se tillvalslista</t>
  </si>
  <si>
    <t>SUMMA</t>
  </si>
  <si>
    <t>Delsumma</t>
  </si>
  <si>
    <t>SÄLJARENS ÅTAGANDE</t>
  </si>
  <si>
    <t>Schakt och grund</t>
  </si>
  <si>
    <t>Montering</t>
  </si>
  <si>
    <t>VVS-installation</t>
  </si>
  <si>
    <t>El-installation</t>
  </si>
  <si>
    <t>Golvbeläggning</t>
  </si>
  <si>
    <t>SUMMA TILLKOMM.</t>
  </si>
  <si>
    <t>MATERIAL OCH ARBETE</t>
  </si>
  <si>
    <t>Tomt kostnad.</t>
  </si>
  <si>
    <t>Lagfart</t>
  </si>
  <si>
    <t>Nybyggn. karta,bygglov</t>
  </si>
  <si>
    <t>Grundundersökning</t>
  </si>
  <si>
    <t>Reserv. Berg/fyllnadsmassor</t>
  </si>
  <si>
    <t>Krankostnad</t>
  </si>
  <si>
    <t xml:space="preserve">SUMMA  </t>
  </si>
  <si>
    <t>TOMT OCH AVGIFTER</t>
  </si>
  <si>
    <t>Grund+Hus- kontantinsats</t>
  </si>
  <si>
    <t>Pantbrev och grav.bevis</t>
  </si>
  <si>
    <t>Räntor o bankavg. Rta %</t>
  </si>
  <si>
    <t>Generellberäkning</t>
  </si>
  <si>
    <t>Tomt mm</t>
  </si>
  <si>
    <t>Skattereduc. D:o 30%</t>
  </si>
  <si>
    <t>LÅNEKOSTNADER</t>
  </si>
  <si>
    <t>Uppräkn m h t byggtidp.</t>
  </si>
  <si>
    <t>Konsultkostnader</t>
  </si>
  <si>
    <t>Direkt insatt kapital/kontant del</t>
  </si>
  <si>
    <t>Påverkar kreditivkostnaden</t>
  </si>
  <si>
    <t xml:space="preserve">SUMMA </t>
  </si>
  <si>
    <t>ÖVRIGT</t>
  </si>
  <si>
    <t>TOTALKOSTNAD</t>
  </si>
  <si>
    <t>TOTALT KRONOR</t>
  </si>
  <si>
    <t>SPECIFIKATION ÖVER TILLVAL</t>
  </si>
  <si>
    <t>T I L L V A L</t>
  </si>
  <si>
    <t>TOTALT TILLVAL KRONOR INKL. MERVÄRDESKATT</t>
  </si>
  <si>
    <t>HJÄLP-BERÄKNINGAR SOM EJ SKALL RÖRAS</t>
  </si>
  <si>
    <t>OBS! ENDAST VITA RUTOR SKALL KORRIGERAS VID SKATTEFÖRÄNDRINGAR</t>
  </si>
  <si>
    <t>Försäljningskontor:</t>
  </si>
  <si>
    <t xml:space="preserve">Jönköping            </t>
  </si>
  <si>
    <t xml:space="preserve">Tel: 010-434 15 48            </t>
  </si>
  <si>
    <t xml:space="preserve">Klubbhusgatan 13                          </t>
  </si>
  <si>
    <t xml:space="preserve">Fax:                  </t>
  </si>
  <si>
    <t xml:space="preserve"> Datum</t>
  </si>
  <si>
    <t xml:space="preserve">553 03                  </t>
  </si>
  <si>
    <t xml:space="preserve"> Jönköping                     </t>
  </si>
  <si>
    <t>Köpare nr 1</t>
  </si>
  <si>
    <t>Person nr</t>
  </si>
  <si>
    <t>Ber årslön</t>
  </si>
  <si>
    <t>Bilförmån/år</t>
  </si>
  <si>
    <t>Antal barn</t>
  </si>
  <si>
    <t>Säljare</t>
  </si>
  <si>
    <t>Sjukförsäkr</t>
  </si>
  <si>
    <t>Köpare nr 2</t>
  </si>
  <si>
    <t>Bidrag/år</t>
  </si>
  <si>
    <t>pensionstillsk</t>
  </si>
  <si>
    <t>Prisbasbelopp</t>
  </si>
  <si>
    <t>Inkomstbasbelopp</t>
  </si>
  <si>
    <t>Förutsättningar</t>
  </si>
  <si>
    <t>lön 1</t>
  </si>
  <si>
    <t>Lön 2</t>
  </si>
  <si>
    <t>Fastighet</t>
  </si>
  <si>
    <t>Brytpunkt 20%</t>
  </si>
  <si>
    <t>Taxerad inkomst =TI</t>
  </si>
  <si>
    <t>grundavdr</t>
  </si>
  <si>
    <t xml:space="preserve">Statlig skatt </t>
  </si>
  <si>
    <t>överst inte 0,99 pbb</t>
  </si>
  <si>
    <t>0,423 pbb</t>
  </si>
  <si>
    <t>Komm skatt</t>
  </si>
  <si>
    <t>BRA p</t>
  </si>
  <si>
    <t>Byggår</t>
  </si>
  <si>
    <t>Grundb.besiktn.</t>
  </si>
  <si>
    <t>Minimi skatt</t>
  </si>
  <si>
    <t>mellan 0,99 o 2,72 pbb</t>
  </si>
  <si>
    <t>0,423*pbb + (TI - 0,99pbb)0,2</t>
  </si>
  <si>
    <t>Brytp II i %</t>
  </si>
  <si>
    <t xml:space="preserve">mellan 2,72 3,11 </t>
  </si>
  <si>
    <t>0,77*pbb</t>
  </si>
  <si>
    <t>Brytp II 5%</t>
  </si>
  <si>
    <t>mellan 3,11 o 7,88 pbb</t>
  </si>
  <si>
    <t>0,77pbb-(TI - 3,11pbb)*0,1</t>
  </si>
  <si>
    <t>Lån typ</t>
  </si>
  <si>
    <t>Ränta</t>
  </si>
  <si>
    <t>Amort</t>
  </si>
  <si>
    <t>Bind.tid</t>
  </si>
  <si>
    <t>Byggkostnad</t>
  </si>
  <si>
    <t>Beräkning av Allm pensionsavgift</t>
  </si>
  <si>
    <t>över 7,88 pbb</t>
  </si>
  <si>
    <t>0,293*pbb</t>
  </si>
  <si>
    <t>ant. år</t>
  </si>
  <si>
    <t>Byggherrek. ansl.avg</t>
  </si>
  <si>
    <t>Lön 1</t>
  </si>
  <si>
    <t>Bottenlån 1</t>
  </si>
  <si>
    <t>Tomtkostnad</t>
  </si>
  <si>
    <t>Taxerad inkomst</t>
  </si>
  <si>
    <t>Bottenlån 2</t>
  </si>
  <si>
    <t>Total prodkostn.</t>
  </si>
  <si>
    <t>Allm pensinonsavg  7%</t>
  </si>
  <si>
    <t>Grundavdrag</t>
  </si>
  <si>
    <t>Kontantinsats</t>
  </si>
  <si>
    <t>på 8,07% x höjt basb.</t>
  </si>
  <si>
    <t xml:space="preserve">Tilläggslån  </t>
  </si>
  <si>
    <t>Totalt lånebehov</t>
  </si>
  <si>
    <t>Värdering</t>
  </si>
  <si>
    <t>SAMMANSTÄLLNING FINANSIERING</t>
  </si>
  <si>
    <t>Upptagna lån</t>
  </si>
  <si>
    <t xml:space="preserve">Amort </t>
  </si>
  <si>
    <t>Summa</t>
  </si>
  <si>
    <t>Skatteberäkning</t>
  </si>
  <si>
    <t>köpare 1</t>
  </si>
  <si>
    <t>köpare 2</t>
  </si>
  <si>
    <t>faktor</t>
  </si>
  <si>
    <t>x prisbasb</t>
  </si>
  <si>
    <t>Grundavdrag, beloppsgränser:</t>
  </si>
  <si>
    <t xml:space="preserve">Bottenlån 2  </t>
  </si>
  <si>
    <t>från</t>
  </si>
  <si>
    <t>till</t>
  </si>
  <si>
    <t>Lön</t>
  </si>
  <si>
    <t>Allmänna avdrag</t>
  </si>
  <si>
    <t>Totalt bottenlån andel i % av marknadsvärdet</t>
  </si>
  <si>
    <t>Ev bilförmån besk.bar brutto</t>
  </si>
  <si>
    <t>Tilläggsslån</t>
  </si>
  <si>
    <t>ÖVER</t>
  </si>
  <si>
    <t>Beskattningsbar inkomst</t>
  </si>
  <si>
    <t>Hjälpformler</t>
  </si>
  <si>
    <t>lön 2</t>
  </si>
  <si>
    <t>Total produktionskostnad</t>
  </si>
  <si>
    <t>under 0,91</t>
  </si>
  <si>
    <t>90% av prodkost</t>
  </si>
  <si>
    <t>Kommunal inkomstskatt</t>
  </si>
  <si>
    <t>S:a kronor</t>
  </si>
  <si>
    <t>Statlig inkomst över brytpunkt</t>
  </si>
  <si>
    <t>OBS! ifylles endast vid tomrätt</t>
  </si>
  <si>
    <t>Driftkostnad</t>
  </si>
  <si>
    <t>Investeringslån 1</t>
  </si>
  <si>
    <t xml:space="preserve">Statlig skatt över </t>
  </si>
  <si>
    <t>Tomtpris:</t>
  </si>
  <si>
    <t>Tomrättsavg %</t>
  </si>
  <si>
    <t>Tomträttsavg.</t>
  </si>
  <si>
    <t>75% av prodkostn</t>
  </si>
  <si>
    <t>D:o för tillägg</t>
  </si>
  <si>
    <t>Allmän pensionsavg.</t>
  </si>
  <si>
    <t>Samf./Vägavg.</t>
  </si>
  <si>
    <t>Skattered pens.avg</t>
  </si>
  <si>
    <t>Brutto kr</t>
  </si>
  <si>
    <t>Tillkommer för jobbavdrag</t>
  </si>
  <si>
    <t>Beräkning av Jobb avdrag</t>
  </si>
  <si>
    <t>År</t>
  </si>
  <si>
    <t>Pbb</t>
  </si>
  <si>
    <t>Skatte reduc</t>
  </si>
  <si>
    <t>TILLFÄLLIG SKATTEREDUKTION</t>
  </si>
  <si>
    <t>Slutlig skatt</t>
  </si>
  <si>
    <t>Netto kr</t>
  </si>
  <si>
    <t>Investeringslån</t>
  </si>
  <si>
    <t xml:space="preserve">Arbetsink köpare 1 </t>
  </si>
  <si>
    <t>Beräkning av barnbidrag</t>
  </si>
  <si>
    <t>Kvar efter skatt</t>
  </si>
  <si>
    <t>Jobbavdrag</t>
  </si>
  <si>
    <t>Gränsvärde</t>
  </si>
  <si>
    <t>per mån</t>
  </si>
  <si>
    <t>per år</t>
  </si>
  <si>
    <t>Månadskostnad inkl. drift och amortering</t>
  </si>
  <si>
    <t>Brutto</t>
  </si>
  <si>
    <t>BKN garanti</t>
  </si>
  <si>
    <t>Skattereduc.i %</t>
  </si>
  <si>
    <t>Slutligt kvar efter skatt</t>
  </si>
  <si>
    <t>Netto</t>
  </si>
  <si>
    <t>Maximal skattereduk.</t>
  </si>
  <si>
    <t>vid 2 barn</t>
  </si>
  <si>
    <t>Boendekostnad netto efter skatt</t>
  </si>
  <si>
    <t>Varav amortering  -  eget sparande  -  per månad</t>
  </si>
  <si>
    <t>Tillfällig skatte redukt</t>
  </si>
  <si>
    <t>Vid 3 barn</t>
  </si>
  <si>
    <t>Tillkommer barnbidrag</t>
  </si>
  <si>
    <t>Kvar att leva på efter skatt, barnbid. och bokostn/mån</t>
  </si>
  <si>
    <t>Bidragsundel.</t>
  </si>
  <si>
    <t>Arbetsink köpare 2</t>
  </si>
  <si>
    <t>vid 4 barn</t>
  </si>
  <si>
    <t>Ev övriga obeskattade bidrag</t>
  </si>
  <si>
    <t>vid 5 barn</t>
  </si>
  <si>
    <t>Kvar att leva på</t>
  </si>
  <si>
    <t>Anmärkning:</t>
  </si>
  <si>
    <t>Skatteberäkning har gjorts med grundavdrag och eventuell bilförmån.</t>
  </si>
  <si>
    <t>Skattereduk.i %</t>
  </si>
  <si>
    <t>mer än 5 barn</t>
  </si>
  <si>
    <t>D:o per månad</t>
  </si>
  <si>
    <t>20% statlig skatt  samt 5% värnskatt från från resp. brytpunkt.</t>
  </si>
  <si>
    <t xml:space="preserve">Allmän pensionsavgift: </t>
  </si>
  <si>
    <t>7% ( med maxbelopp räknat på 8,07% av förhöjt basbelopp.)</t>
  </si>
  <si>
    <t xml:space="preserve">Tillfällig skattereduk </t>
  </si>
  <si>
    <t>ANALYS AV BOENDEKOSTNADER FÖR DE SEX FÖRSTA ÅREN</t>
  </si>
  <si>
    <t>Köpare 1:</t>
  </si>
  <si>
    <t>Fastighet:</t>
  </si>
  <si>
    <t>Byggår:</t>
  </si>
  <si>
    <t>Köpare 2:</t>
  </si>
  <si>
    <t>Kommun:</t>
  </si>
  <si>
    <t>Grundb.bes.</t>
  </si>
  <si>
    <t>Säljare:</t>
  </si>
  <si>
    <t>Uppskattat taxvärde:</t>
  </si>
  <si>
    <t>Hustyp:</t>
  </si>
  <si>
    <t>Anmärkning: Amorteringen har antagits lika under de 6 första åren</t>
  </si>
  <si>
    <t>Sidobyggnad:</t>
  </si>
  <si>
    <t>även om serielån ger en något ökande amortering.</t>
  </si>
  <si>
    <t>PK/m2 BRAp:</t>
  </si>
  <si>
    <t>(endast byggkostn inkl moms)</t>
  </si>
  <si>
    <t>Fastighetsskatt:1,5 %</t>
  </si>
  <si>
    <t>Prognos för boendekostnader  år 1 - 6</t>
  </si>
  <si>
    <t>Amortering</t>
  </si>
  <si>
    <t>Räntor</t>
  </si>
  <si>
    <t>Driftkostn.</t>
  </si>
  <si>
    <t>Hjälptabell lön</t>
  </si>
  <si>
    <t>ökning i %</t>
  </si>
  <si>
    <t>Fast.skatt</t>
  </si>
  <si>
    <t>Skatteredukt.</t>
  </si>
  <si>
    <t>år 1</t>
  </si>
  <si>
    <t>Årskostnad</t>
  </si>
  <si>
    <t>Månadskostn</t>
  </si>
  <si>
    <t xml:space="preserve">Förändr/mån. </t>
  </si>
  <si>
    <t>Bokost % lön</t>
  </si>
  <si>
    <t>Beräknad löneökn./år</t>
  </si>
  <si>
    <t>Beräknad ökn. av driftkostn/år.</t>
  </si>
  <si>
    <t>Anm. Bottenlån omplaceras efter fem år.</t>
  </si>
  <si>
    <t>Fastighetsskatt tillkommer fr.o.m. år sex och har beräknats på 75% av produktionskostnaden.</t>
  </si>
  <si>
    <t>De första 5 åren utgår ingen fastighetsskatt, under år 6-10 utgår halv fastighetsskatt och därefter hel.</t>
  </si>
  <si>
    <t>Fastighetsbeteckning och kommun</t>
  </si>
  <si>
    <t xml:space="preserve">Förutsättning för beräkningen är en familj med 2 vuxna </t>
  </si>
  <si>
    <t>och med 2 barn i skolåldern</t>
  </si>
  <si>
    <t>Vattenförbrukning per år  prel.</t>
  </si>
  <si>
    <t>antal m3</t>
  </si>
  <si>
    <t>kostn /m3</t>
  </si>
  <si>
    <t>Totalt</t>
  </si>
  <si>
    <t>Elförbrukning per år prel. beräkn.</t>
  </si>
  <si>
    <t>antal Kwh</t>
  </si>
  <si>
    <t>kostn/Kwh</t>
  </si>
  <si>
    <t>Hushålls-El per år prel. beräkn. antal KWh</t>
  </si>
  <si>
    <t>Ev annan uppvärmning, Olja gas, fjärrvärme el. dyl.</t>
  </si>
  <si>
    <t>Sophämtning per år</t>
  </si>
  <si>
    <t>Försäkring (dock ej lösöre) per år</t>
  </si>
  <si>
    <t>Underhålls- och reparationskostnader (inga kostnader under de första åren)</t>
  </si>
  <si>
    <t>Totalt uppskattad driftkostnad per år, kronor</t>
  </si>
  <si>
    <t>Beräknad driftkostnad per år avrundat till närmsta hundratal kronor:</t>
  </si>
  <si>
    <t>Kostnad för del i samfällighets-, Väg-, eller tomtägarförening o.dyl. per år</t>
  </si>
  <si>
    <t>Övriga förutsättningar:</t>
  </si>
  <si>
    <t>Kontrollansvarig enl. PBL</t>
  </si>
  <si>
    <t>3 mån</t>
  </si>
  <si>
    <t>Grundoljning o grundmålning</t>
  </si>
  <si>
    <t>Sökt belopp, kr (nytt lån)</t>
  </si>
  <si>
    <t>Efternamn och tilltalsnamn</t>
  </si>
  <si>
    <t>Postutdelningsadress</t>
  </si>
  <si>
    <t>Postnummer och ort</t>
  </si>
  <si>
    <t>Epost</t>
  </si>
  <si>
    <t>Arbetsgivare</t>
  </si>
  <si>
    <t>Medsökande</t>
  </si>
  <si>
    <t>Bank</t>
  </si>
  <si>
    <t>Lägesbeskrivning</t>
  </si>
  <si>
    <t>Endast uppgift om make/maka/sambo/reg partner</t>
  </si>
  <si>
    <t>Yrke/Titel</t>
  </si>
  <si>
    <t>Hushållets inkomster</t>
  </si>
  <si>
    <t>kronor per månad</t>
  </si>
  <si>
    <t>Hushållets utgifter</t>
  </si>
  <si>
    <t>Personnummer</t>
  </si>
  <si>
    <t>Telefon bostad (även riktnr)</t>
  </si>
  <si>
    <t>Mobil</t>
  </si>
  <si>
    <t>Civilstånd</t>
  </si>
  <si>
    <t>Anställningsdatum</t>
  </si>
  <si>
    <t>INTRESSEANMÄLAN</t>
  </si>
  <si>
    <t>Arbetsinkomst/pension</t>
  </si>
  <si>
    <t>Person 1, före skatt</t>
  </si>
  <si>
    <t>Förmånsvärde, t ex bil, kost kr</t>
  </si>
  <si>
    <t>Person 2, före skatt</t>
  </si>
  <si>
    <t>Barnbidrag/bidragsförskott</t>
  </si>
  <si>
    <t>Övriga inkomster</t>
  </si>
  <si>
    <t>SUMMA INKOMSTER</t>
  </si>
  <si>
    <t>SUMMA UTGIFTER</t>
  </si>
  <si>
    <t>Driftskostnad</t>
  </si>
  <si>
    <t>(enligt SmV)</t>
  </si>
  <si>
    <t>Skatt totalt</t>
  </si>
  <si>
    <t xml:space="preserve">Flickor år </t>
  </si>
  <si>
    <t>Pojkar år</t>
  </si>
  <si>
    <t>Barnomsorg/underhåll</t>
  </si>
  <si>
    <t>Övriga fasta kostnader</t>
  </si>
  <si>
    <t>Inkl kostnader för andra lån</t>
  </si>
  <si>
    <t xml:space="preserve">Julie Brovall                                              </t>
  </si>
  <si>
    <t>&lt;Kund.Pers-/Org.nr  &gt;</t>
  </si>
  <si>
    <t xml:space="preserve">                                                                                                   </t>
  </si>
  <si>
    <t xml:space="preserve">                                                                                             </t>
  </si>
  <si>
    <t xml:space="preserve">                    </t>
  </si>
  <si>
    <t xml:space="preserve">0720810630            </t>
  </si>
  <si>
    <t xml:space="preserve">                                                           </t>
  </si>
  <si>
    <t xml:space="preserve">                 </t>
  </si>
  <si>
    <t xml:space="preserve">                    </t>
  </si>
  <si>
    <t xml:space="preserve">                      </t>
  </si>
  <si>
    <t xml:space="preserve">                                                                                                                      </t>
  </si>
  <si>
    <t>Total produktionskostnad, kr</t>
  </si>
  <si>
    <t>Eget arbete, värdering</t>
  </si>
  <si>
    <t xml:space="preserve">  Preliminär driftkostnad för första året</t>
  </si>
  <si>
    <t>Extra material/ byggnadsarbeten</t>
  </si>
  <si>
    <t>Enl. SmV:s leveransbeskrivning</t>
  </si>
  <si>
    <t xml:space="preserve">Gatukostnad </t>
  </si>
  <si>
    <t>Anslutningsavgift VA</t>
  </si>
  <si>
    <t>Anslutningsavgift EL</t>
  </si>
  <si>
    <t>Anslutningsavg. Fjärrvärme/Gas</t>
  </si>
  <si>
    <t>Anslutningsavg. Telefon/Stadsnät</t>
  </si>
  <si>
    <t>För normala grundförhållanden</t>
  </si>
  <si>
    <t>Omlastning</t>
  </si>
  <si>
    <t>Container</t>
  </si>
  <si>
    <t>Extra fyllnadsmassor/pålning</t>
  </si>
  <si>
    <t xml:space="preserve">julie_brovall@hotmail.com                                                                            </t>
  </si>
  <si>
    <t xml:space="preserve">                                                                                                     </t>
  </si>
  <si>
    <t>PRODUKTIONSKOSTNADSKALKYL</t>
  </si>
  <si>
    <t>0,91 - 2,94</t>
  </si>
  <si>
    <t>2,94 - 8,08</t>
  </si>
  <si>
    <t>Prisbasbelopp för år 2015</t>
  </si>
  <si>
    <t>ungefärlig prisuppgift enligt konsumenttjänstlagen eller annan lagstiftning.</t>
  </si>
  <si>
    <t>Uppskattat</t>
  </si>
  <si>
    <t>belopp</t>
  </si>
  <si>
    <r>
      <t xml:space="preserve">Anm: Angivna belopp, som inte grundas på tecknat kontrakt eller skriftligt anbud, utgör </t>
    </r>
    <r>
      <rPr>
        <u/>
        <sz val="10"/>
        <rFont val="Arial"/>
        <family val="2"/>
      </rPr>
      <t>ej</t>
    </r>
  </si>
  <si>
    <t>Hjälp Jobb lön 1</t>
  </si>
  <si>
    <t>Hjälp Jobb lön 2</t>
  </si>
  <si>
    <t xml:space="preserve">  8,08-13,54</t>
  </si>
  <si>
    <t>över 13,54</t>
  </si>
  <si>
    <t>Kontant</t>
  </si>
  <si>
    <t>eget arb</t>
  </si>
  <si>
    <t>Belåningsgrad</t>
  </si>
  <si>
    <t>Bottenlån max 85%</t>
  </si>
  <si>
    <t xml:space="preserve">Tilläggslån </t>
  </si>
  <si>
    <t>lån</t>
  </si>
  <si>
    <t>rta</t>
  </si>
  <si>
    <t>amort</t>
  </si>
  <si>
    <t>summa</t>
  </si>
  <si>
    <t>Totalt lån</t>
  </si>
  <si>
    <t>Delen eget arbete</t>
  </si>
  <si>
    <t xml:space="preserve">PRELIMINÄR KALKYL FÖR BOENDEKOSTNADER I  NYPRODUCERADE SMÅHUS ÅR </t>
  </si>
  <si>
    <t>Beräkning av grundavdrag för år</t>
  </si>
  <si>
    <t>Total produkt kostn</t>
  </si>
  <si>
    <t>totalt Erf lån</t>
  </si>
  <si>
    <t>Botenlån 1</t>
  </si>
  <si>
    <t>Botenlån 2</t>
  </si>
  <si>
    <t>Botenlån totalt</t>
  </si>
  <si>
    <t>Tilläggslån utan pantb</t>
  </si>
  <si>
    <t>Eget arb</t>
  </si>
  <si>
    <t xml:space="preserve"> Egen insats</t>
  </si>
  <si>
    <t xml:space="preserve"> Summa</t>
  </si>
  <si>
    <t>Hänsyn har tagits till ändrat "jobbavdrag" för 2017-2018</t>
  </si>
  <si>
    <t>OBS! Skuldkvoten (4,5xbruttolön) påverkas om köparen har fler bostadslån</t>
  </si>
  <si>
    <t>än ovan i andra fastigheter eller bostadsrätter.</t>
  </si>
  <si>
    <t>Kontantinsats i %</t>
  </si>
  <si>
    <t xml:space="preserve">                          </t>
  </si>
  <si>
    <t>Rev. 2019-02-05 BP</t>
  </si>
  <si>
    <t>Nyanslutning av el</t>
  </si>
  <si>
    <t>Utv. färdigmålning material</t>
  </si>
  <si>
    <t>Ev. fyllnadsmassor/bortforsling</t>
  </si>
  <si>
    <t>Kontrollansvarig</t>
  </si>
  <si>
    <t>2% av lånesumman + 950:-</t>
  </si>
  <si>
    <t>Myndighetskostnader</t>
  </si>
  <si>
    <t>Plan och avstyckningsavgift</t>
  </si>
  <si>
    <t>Fiber</t>
  </si>
  <si>
    <t>1,5% av tomtsumman + 950:-</t>
  </si>
  <si>
    <t>,</t>
  </si>
  <si>
    <t>Markarbete och platta till garage</t>
  </si>
  <si>
    <t>Planlösning C med 4 sovrum</t>
  </si>
  <si>
    <t>Havstenshult</t>
  </si>
  <si>
    <t>Mullsjö</t>
  </si>
  <si>
    <t>4st gavelfönster</t>
  </si>
  <si>
    <t>Stor entrétrappa</t>
  </si>
  <si>
    <t>Trappa till ovanvåning</t>
  </si>
  <si>
    <t>Duschväggar Niagara</t>
  </si>
  <si>
    <t>Tomt nr. 15</t>
  </si>
  <si>
    <t>Havstenshult tomt 15</t>
  </si>
  <si>
    <t>Villa Kalmar</t>
  </si>
  <si>
    <t>Nyanslutning Va&amp;Av-avgift.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</si>
</sst>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yy/mm/dd"/>
    <numFmt numFmtId="166" formatCode="#,##0&quot; kr &quot;"/>
    <numFmt numFmtId="167" formatCode="#,##0.000"/>
    <numFmt numFmtId="168" formatCode="_-* #,##0.00&quot; kr&quot;_-;\-* #,##0.00&quot; kr&quot;_-;_-* \-??&quot; kr&quot;_-;_-@_-"/>
    <numFmt numFmtId="169" formatCode="_-* #,##0&quot; kr&quot;_-;\-* #,##0&quot; kr&quot;_-;_-* &quot;- kr&quot;_-;_-@_-"/>
    <numFmt numFmtId="170" formatCode="#,##0&quot; kr&quot;;\-#,##0&quot; kr&quot;"/>
    <numFmt numFmtId="171" formatCode="yy/mm/dd;@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sz val="6"/>
      <name val="Arial"/>
      <family val="2"/>
    </font>
    <font>
      <sz val="8"/>
      <color indexed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8"/>
      <color indexed="8"/>
      <name val="Times New Roman"/>
      <family val="1"/>
    </font>
    <font>
      <b/>
      <i/>
      <sz val="8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43"/>
        <bgColor indexed="64"/>
      </patternFill>
    </fill>
    <fill>
      <patternFill patternType="lightDown"/>
    </fill>
    <fill>
      <patternFill patternType="solid">
        <fgColor rgb="FFFFFF00"/>
        <bgColor indexed="39"/>
      </patternFill>
    </fill>
    <fill>
      <patternFill patternType="solid">
        <fgColor rgb="FFFFFF00"/>
        <bgColor indexed="43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3" fillId="0" borderId="0"/>
    <xf numFmtId="0" fontId="1" fillId="0" borderId="0"/>
    <xf numFmtId="164" fontId="30" fillId="0" borderId="0" applyFont="0" applyFill="0" applyBorder="0" applyAlignment="0" applyProtection="0"/>
  </cellStyleXfs>
  <cellXfs count="484">
    <xf numFmtId="0" fontId="0" fillId="0" borderId="0" xfId="0"/>
    <xf numFmtId="0" fontId="0" fillId="2" borderId="0" xfId="0" applyFill="1"/>
    <xf numFmtId="0" fontId="2" fillId="2" borderId="0" xfId="0" applyFont="1" applyFill="1"/>
    <xf numFmtId="3" fontId="3" fillId="0" borderId="0" xfId="0" applyNumberFormat="1" applyFont="1"/>
    <xf numFmtId="0" fontId="4" fillId="2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3" fontId="7" fillId="0" borderId="0" xfId="0" applyNumberFormat="1" applyFont="1"/>
    <xf numFmtId="0" fontId="5" fillId="0" borderId="0" xfId="0" applyFont="1"/>
    <xf numFmtId="0" fontId="8" fillId="2" borderId="5" xfId="0" applyFont="1" applyFill="1" applyBorder="1" applyProtection="1">
      <protection locked="0"/>
    </xf>
    <xf numFmtId="165" fontId="9" fillId="2" borderId="5" xfId="0" applyNumberFormat="1" applyFont="1" applyFill="1" applyBorder="1" applyAlignment="1" applyProtection="1">
      <alignment horizontal="left"/>
      <protection locked="0"/>
    </xf>
    <xf numFmtId="3" fontId="8" fillId="2" borderId="6" xfId="0" applyNumberFormat="1" applyFont="1" applyFill="1" applyBorder="1" applyProtection="1">
      <protection locked="0"/>
    </xf>
    <xf numFmtId="0" fontId="0" fillId="2" borderId="6" xfId="0" applyFill="1" applyBorder="1"/>
    <xf numFmtId="3" fontId="5" fillId="2" borderId="7" xfId="0" applyNumberFormat="1" applyFont="1" applyFill="1" applyBorder="1"/>
    <xf numFmtId="3" fontId="5" fillId="2" borderId="0" xfId="0" applyNumberFormat="1" applyFont="1" applyFill="1"/>
    <xf numFmtId="3" fontId="6" fillId="2" borderId="8" xfId="0" applyNumberFormat="1" applyFont="1" applyFill="1" applyBorder="1"/>
    <xf numFmtId="3" fontId="6" fillId="2" borderId="0" xfId="0" applyNumberFormat="1" applyFont="1" applyFill="1"/>
    <xf numFmtId="3" fontId="5" fillId="2" borderId="1" xfId="0" applyNumberFormat="1" applyFont="1" applyFill="1" applyBorder="1"/>
    <xf numFmtId="3" fontId="6" fillId="2" borderId="2" xfId="0" applyNumberFormat="1" applyFont="1" applyFill="1" applyBorder="1"/>
    <xf numFmtId="3" fontId="6" fillId="2" borderId="3" xfId="0" applyNumberFormat="1" applyFont="1" applyFill="1" applyBorder="1"/>
    <xf numFmtId="3" fontId="10" fillId="0" borderId="0" xfId="0" applyNumberFormat="1" applyFont="1"/>
    <xf numFmtId="0" fontId="8" fillId="0" borderId="0" xfId="0" applyFont="1"/>
    <xf numFmtId="0" fontId="5" fillId="2" borderId="3" xfId="0" applyFont="1" applyFill="1" applyBorder="1"/>
    <xf numFmtId="0" fontId="5" fillId="2" borderId="4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9" xfId="0" applyFont="1" applyFill="1" applyBorder="1"/>
    <xf numFmtId="3" fontId="0" fillId="2" borderId="4" xfId="0" applyNumberFormat="1" applyFill="1" applyBorder="1"/>
    <xf numFmtId="3" fontId="0" fillId="2" borderId="4" xfId="0" applyNumberFormat="1" applyFill="1" applyBorder="1" applyProtection="1">
      <protection locked="0"/>
    </xf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3" fontId="0" fillId="2" borderId="15" xfId="0" applyNumberFormat="1" applyFill="1" applyBorder="1"/>
    <xf numFmtId="3" fontId="0" fillId="2" borderId="15" xfId="0" applyNumberFormat="1" applyFill="1" applyBorder="1" applyProtection="1">
      <protection locked="0"/>
    </xf>
    <xf numFmtId="0" fontId="9" fillId="2" borderId="7" xfId="0" applyFont="1" applyFill="1" applyBorder="1"/>
    <xf numFmtId="0" fontId="9" fillId="2" borderId="0" xfId="0" applyFont="1" applyFill="1"/>
    <xf numFmtId="0" fontId="9" fillId="2" borderId="8" xfId="0" applyFont="1" applyFill="1" applyBorder="1"/>
    <xf numFmtId="0" fontId="9" fillId="2" borderId="5" xfId="0" applyFont="1" applyFill="1" applyBorder="1"/>
    <xf numFmtId="0" fontId="5" fillId="2" borderId="5" xfId="0" applyFont="1" applyFill="1" applyBorder="1"/>
    <xf numFmtId="3" fontId="5" fillId="2" borderId="5" xfId="0" applyNumberFormat="1" applyFont="1" applyFill="1" applyBorder="1"/>
    <xf numFmtId="0" fontId="11" fillId="2" borderId="16" xfId="0" applyFont="1" applyFill="1" applyBorder="1"/>
    <xf numFmtId="3" fontId="0" fillId="2" borderId="17" xfId="0" applyNumberFormat="1" applyFill="1" applyBorder="1"/>
    <xf numFmtId="3" fontId="0" fillId="2" borderId="5" xfId="0" applyNumberFormat="1" applyFill="1" applyBorder="1"/>
    <xf numFmtId="0" fontId="9" fillId="2" borderId="11" xfId="0" applyFont="1" applyFill="1" applyBorder="1"/>
    <xf numFmtId="3" fontId="0" fillId="2" borderId="18" xfId="0" applyNumberFormat="1" applyFill="1" applyBorder="1" applyAlignment="1">
      <alignment horizontal="right"/>
    </xf>
    <xf numFmtId="3" fontId="0" fillId="2" borderId="19" xfId="0" applyNumberFormat="1" applyFill="1" applyBorder="1" applyAlignment="1">
      <alignment horizontal="right"/>
    </xf>
    <xf numFmtId="3" fontId="0" fillId="2" borderId="6" xfId="0" applyNumberFormat="1" applyFill="1" applyBorder="1"/>
    <xf numFmtId="0" fontId="0" fillId="2" borderId="14" xfId="0" applyFill="1" applyBorder="1"/>
    <xf numFmtId="0" fontId="11" fillId="0" borderId="0" xfId="0" applyFont="1"/>
    <xf numFmtId="0" fontId="5" fillId="2" borderId="0" xfId="0" applyFont="1" applyFill="1"/>
    <xf numFmtId="0" fontId="5" fillId="2" borderId="12" xfId="0" applyFont="1" applyFill="1" applyBorder="1" applyProtection="1">
      <protection locked="0"/>
    </xf>
    <xf numFmtId="3" fontId="3" fillId="0" borderId="20" xfId="0" applyNumberFormat="1" applyFont="1" applyBorder="1"/>
    <xf numFmtId="2" fontId="5" fillId="3" borderId="20" xfId="0" applyNumberFormat="1" applyFont="1" applyFill="1" applyBorder="1" applyProtection="1">
      <protection locked="0"/>
    </xf>
    <xf numFmtId="3" fontId="0" fillId="2" borderId="3" xfId="0" applyNumberFormat="1" applyFill="1" applyBorder="1"/>
    <xf numFmtId="3" fontId="0" fillId="2" borderId="0" xfId="0" applyNumberFormat="1" applyFill="1"/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3" fontId="0" fillId="4" borderId="15" xfId="0" applyNumberFormat="1" applyFill="1" applyBorder="1"/>
    <xf numFmtId="0" fontId="5" fillId="2" borderId="8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1" fillId="2" borderId="17" xfId="0" applyFont="1" applyFill="1" applyBorder="1"/>
    <xf numFmtId="0" fontId="5" fillId="2" borderId="10" xfId="0" applyFont="1" applyFill="1" applyBorder="1"/>
    <xf numFmtId="14" fontId="5" fillId="2" borderId="0" xfId="0" applyNumberFormat="1" applyFont="1" applyFill="1" applyAlignment="1">
      <alignment horizontal="left"/>
    </xf>
    <xf numFmtId="0" fontId="9" fillId="0" borderId="0" xfId="0" applyFont="1"/>
    <xf numFmtId="3" fontId="0" fillId="0" borderId="0" xfId="0" applyNumberFormat="1"/>
    <xf numFmtId="0" fontId="3" fillId="0" borderId="0" xfId="0" applyFont="1"/>
    <xf numFmtId="3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center"/>
    </xf>
    <xf numFmtId="3" fontId="14" fillId="0" borderId="0" xfId="0" applyNumberFormat="1" applyFont="1"/>
    <xf numFmtId="2" fontId="3" fillId="0" borderId="0" xfId="0" applyNumberFormat="1" applyFont="1"/>
    <xf numFmtId="166" fontId="13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/>
    <xf numFmtId="0" fontId="3" fillId="0" borderId="0" xfId="0" applyFont="1" applyAlignment="1">
      <alignment horizontal="left"/>
    </xf>
    <xf numFmtId="2" fontId="3" fillId="2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11" fillId="0" borderId="2" xfId="0" applyFont="1" applyBorder="1"/>
    <xf numFmtId="0" fontId="11" fillId="0" borderId="3" xfId="0" applyFont="1" applyBorder="1"/>
    <xf numFmtId="3" fontId="5" fillId="0" borderId="1" xfId="0" applyNumberFormat="1" applyFont="1" applyBorder="1"/>
    <xf numFmtId="165" fontId="5" fillId="0" borderId="3" xfId="0" applyNumberFormat="1" applyFont="1" applyBorder="1"/>
    <xf numFmtId="0" fontId="11" fillId="0" borderId="4" xfId="0" applyFont="1" applyBorder="1"/>
    <xf numFmtId="0" fontId="11" fillId="0" borderId="7" xfId="0" applyFont="1" applyBorder="1"/>
    <xf numFmtId="0" fontId="11" fillId="0" borderId="8" xfId="0" applyFont="1" applyBorder="1"/>
    <xf numFmtId="0" fontId="0" fillId="0" borderId="7" xfId="0" applyBorder="1"/>
    <xf numFmtId="0" fontId="0" fillId="0" borderId="8" xfId="0" applyBorder="1"/>
    <xf numFmtId="165" fontId="0" fillId="0" borderId="8" xfId="0" applyNumberFormat="1" applyBorder="1"/>
    <xf numFmtId="0" fontId="11" fillId="0" borderId="5" xfId="0" applyFont="1" applyBorder="1"/>
    <xf numFmtId="3" fontId="8" fillId="0" borderId="9" xfId="0" applyNumberFormat="1" applyFont="1" applyBorder="1"/>
    <xf numFmtId="3" fontId="0" fillId="0" borderId="1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165" fontId="0" fillId="0" borderId="11" xfId="0" applyNumberFormat="1" applyBorder="1"/>
    <xf numFmtId="3" fontId="5" fillId="0" borderId="3" xfId="0" applyNumberFormat="1" applyFont="1" applyBorder="1"/>
    <xf numFmtId="3" fontId="5" fillId="0" borderId="2" xfId="0" applyNumberFormat="1" applyFont="1" applyBorder="1"/>
    <xf numFmtId="0" fontId="5" fillId="0" borderId="4" xfId="0" applyFont="1" applyBorder="1"/>
    <xf numFmtId="0" fontId="0" fillId="0" borderId="9" xfId="0" applyBorder="1"/>
    <xf numFmtId="0" fontId="0" fillId="0" borderId="6" xfId="0" applyBorder="1"/>
    <xf numFmtId="0" fontId="9" fillId="0" borderId="12" xfId="0" applyFont="1" applyBorder="1"/>
    <xf numFmtId="0" fontId="9" fillId="0" borderId="13" xfId="0" applyFont="1" applyBorder="1"/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Protection="1">
      <protection locked="0"/>
    </xf>
    <xf numFmtId="3" fontId="16" fillId="0" borderId="0" xfId="0" applyNumberFormat="1" applyFont="1"/>
    <xf numFmtId="0" fontId="17" fillId="0" borderId="0" xfId="0" applyFont="1"/>
    <xf numFmtId="0" fontId="18" fillId="0" borderId="12" xfId="0" applyFont="1" applyBorder="1"/>
    <xf numFmtId="0" fontId="0" fillId="0" borderId="13" xfId="0" applyBorder="1"/>
    <xf numFmtId="0" fontId="0" fillId="2" borderId="13" xfId="0" applyFill="1" applyBorder="1"/>
    <xf numFmtId="0" fontId="0" fillId="2" borderId="10" xfId="0" applyFill="1" applyBorder="1"/>
    <xf numFmtId="3" fontId="0" fillId="0" borderId="15" xfId="0" applyNumberFormat="1" applyBorder="1"/>
    <xf numFmtId="14" fontId="5" fillId="0" borderId="0" xfId="0" applyNumberFormat="1" applyFont="1" applyAlignment="1">
      <alignment horizontal="left"/>
    </xf>
    <xf numFmtId="0" fontId="18" fillId="0" borderId="0" xfId="0" applyFont="1"/>
    <xf numFmtId="0" fontId="9" fillId="0" borderId="0" xfId="0" applyFont="1" applyProtection="1">
      <protection locked="0"/>
    </xf>
    <xf numFmtId="3" fontId="0" fillId="5" borderId="0" xfId="0" applyNumberFormat="1" applyFill="1"/>
    <xf numFmtId="0" fontId="0" fillId="5" borderId="0" xfId="0" applyFill="1"/>
    <xf numFmtId="3" fontId="19" fillId="0" borderId="0" xfId="0" applyNumberFormat="1" applyFont="1"/>
    <xf numFmtId="3" fontId="18" fillId="5" borderId="0" xfId="0" applyNumberFormat="1" applyFont="1" applyFill="1"/>
    <xf numFmtId="3" fontId="4" fillId="5" borderId="0" xfId="0" applyNumberFormat="1" applyFont="1" applyFill="1"/>
    <xf numFmtId="3" fontId="18" fillId="0" borderId="0" xfId="0" applyNumberFormat="1" applyFont="1"/>
    <xf numFmtId="3" fontId="18" fillId="0" borderId="0" xfId="0" applyNumberFormat="1" applyFont="1" applyAlignment="1">
      <alignment horizontal="left"/>
    </xf>
    <xf numFmtId="165" fontId="20" fillId="0" borderId="15" xfId="0" applyNumberFormat="1" applyFont="1" applyBorder="1" applyAlignment="1">
      <alignment horizontal="left"/>
    </xf>
    <xf numFmtId="165" fontId="18" fillId="0" borderId="0" xfId="0" applyNumberFormat="1" applyFont="1" applyAlignment="1">
      <alignment horizontal="center"/>
    </xf>
    <xf numFmtId="0" fontId="2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5" fillId="0" borderId="2" xfId="0" applyFont="1" applyBorder="1"/>
    <xf numFmtId="3" fontId="5" fillId="0" borderId="4" xfId="0" applyNumberFormat="1" applyFont="1" applyBorder="1"/>
    <xf numFmtId="3" fontId="5" fillId="5" borderId="0" xfId="0" applyNumberFormat="1" applyFont="1" applyFill="1"/>
    <xf numFmtId="0" fontId="5" fillId="5" borderId="0" xfId="0" applyFont="1" applyFill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0" fillId="0" borderId="10" xfId="0" applyBorder="1"/>
    <xf numFmtId="3" fontId="0" fillId="0" borderId="6" xfId="0" applyNumberFormat="1" applyBorder="1" applyProtection="1"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3" fontId="0" fillId="3" borderId="15" xfId="0" applyNumberFormat="1" applyFill="1" applyBorder="1"/>
    <xf numFmtId="2" fontId="0" fillId="0" borderId="21" xfId="0" applyNumberFormat="1" applyBorder="1"/>
    <xf numFmtId="3" fontId="4" fillId="3" borderId="20" xfId="0" applyNumberFormat="1" applyFont="1" applyFill="1" applyBorder="1" applyAlignment="1">
      <alignment horizontal="center"/>
    </xf>
    <xf numFmtId="2" fontId="0" fillId="0" borderId="15" xfId="0" applyNumberFormat="1" applyBorder="1"/>
    <xf numFmtId="3" fontId="0" fillId="0" borderId="6" xfId="0" applyNumberFormat="1" applyBorder="1"/>
    <xf numFmtId="3" fontId="0" fillId="0" borderId="12" xfId="0" applyNumberFormat="1" applyBorder="1"/>
    <xf numFmtId="0" fontId="0" fillId="0" borderId="3" xfId="0" applyBorder="1"/>
    <xf numFmtId="3" fontId="0" fillId="0" borderId="22" xfId="0" applyNumberFormat="1" applyBorder="1"/>
    <xf numFmtId="0" fontId="5" fillId="3" borderId="8" xfId="0" applyFont="1" applyFill="1" applyBorder="1"/>
    <xf numFmtId="3" fontId="0" fillId="0" borderId="9" xfId="0" applyNumberFormat="1" applyBorder="1" applyAlignment="1">
      <alignment horizontal="left"/>
    </xf>
    <xf numFmtId="3" fontId="0" fillId="0" borderId="23" xfId="0" applyNumberFormat="1" applyBorder="1"/>
    <xf numFmtId="0" fontId="0" fillId="0" borderId="15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4" fontId="0" fillId="0" borderId="6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2" fontId="0" fillId="0" borderId="6" xfId="0" applyNumberFormat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3" fontId="5" fillId="6" borderId="24" xfId="0" applyNumberFormat="1" applyFont="1" applyFill="1" applyBorder="1"/>
    <xf numFmtId="3" fontId="5" fillId="0" borderId="9" xfId="0" applyNumberFormat="1" applyFont="1" applyBorder="1"/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3" xfId="0" applyFont="1" applyBorder="1"/>
    <xf numFmtId="0" fontId="0" fillId="0" borderId="14" xfId="0" applyBorder="1"/>
    <xf numFmtId="3" fontId="5" fillId="3" borderId="15" xfId="0" applyNumberFormat="1" applyFont="1" applyFill="1" applyBorder="1"/>
    <xf numFmtId="2" fontId="0" fillId="6" borderId="15" xfId="0" applyNumberFormat="1" applyFill="1" applyBorder="1"/>
    <xf numFmtId="0" fontId="0" fillId="0" borderId="2" xfId="0" applyBorder="1"/>
    <xf numFmtId="3" fontId="4" fillId="6" borderId="20" xfId="0" applyNumberFormat="1" applyFont="1" applyFill="1" applyBorder="1" applyProtection="1">
      <protection locked="0"/>
    </xf>
    <xf numFmtId="3" fontId="4" fillId="2" borderId="0" xfId="0" applyNumberFormat="1" applyFont="1" applyFill="1"/>
    <xf numFmtId="4" fontId="0" fillId="0" borderId="15" xfId="0" applyNumberFormat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3" fontId="5" fillId="0" borderId="12" xfId="0" applyNumberFormat="1" applyFont="1" applyBorder="1"/>
    <xf numFmtId="0" fontId="5" fillId="0" borderId="15" xfId="0" applyFont="1" applyBorder="1" applyAlignment="1" applyProtection="1">
      <alignment horizontal="center"/>
      <protection locked="0"/>
    </xf>
    <xf numFmtId="0" fontId="5" fillId="0" borderId="12" xfId="0" applyFont="1" applyBorder="1"/>
    <xf numFmtId="2" fontId="5" fillId="0" borderId="0" xfId="0" applyNumberFormat="1" applyFont="1"/>
    <xf numFmtId="0" fontId="5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6" borderId="25" xfId="0" applyNumberFormat="1" applyFill="1" applyBorder="1"/>
    <xf numFmtId="3" fontId="0" fillId="6" borderId="26" xfId="0" applyNumberFormat="1" applyFill="1" applyBorder="1"/>
    <xf numFmtId="3" fontId="0" fillId="6" borderId="27" xfId="0" applyNumberFormat="1" applyFill="1" applyBorder="1"/>
    <xf numFmtId="3" fontId="0" fillId="6" borderId="28" xfId="0" applyNumberFormat="1" applyFill="1" applyBorder="1"/>
    <xf numFmtId="3" fontId="0" fillId="6" borderId="29" xfId="0" applyNumberFormat="1" applyFill="1" applyBorder="1"/>
    <xf numFmtId="3" fontId="5" fillId="0" borderId="13" xfId="0" applyNumberFormat="1" applyFont="1" applyBorder="1"/>
    <xf numFmtId="9" fontId="0" fillId="5" borderId="0" xfId="0" applyNumberFormat="1" applyFill="1"/>
    <xf numFmtId="3" fontId="0" fillId="0" borderId="26" xfId="0" applyNumberFormat="1" applyBorder="1"/>
    <xf numFmtId="3" fontId="0" fillId="0" borderId="30" xfId="0" applyNumberFormat="1" applyBorder="1"/>
    <xf numFmtId="3" fontId="0" fillId="6" borderId="31" xfId="0" applyNumberFormat="1" applyFill="1" applyBorder="1"/>
    <xf numFmtId="3" fontId="0" fillId="6" borderId="13" xfId="0" applyNumberFormat="1" applyFill="1" applyBorder="1"/>
    <xf numFmtId="3" fontId="0" fillId="6" borderId="14" xfId="0" applyNumberFormat="1" applyFill="1" applyBorder="1"/>
    <xf numFmtId="3" fontId="0" fillId="6" borderId="15" xfId="0" applyNumberFormat="1" applyFill="1" applyBorder="1"/>
    <xf numFmtId="0" fontId="0" fillId="6" borderId="15" xfId="0" applyFill="1" applyBorder="1"/>
    <xf numFmtId="0" fontId="0" fillId="6" borderId="23" xfId="0" applyFill="1" applyBorder="1"/>
    <xf numFmtId="3" fontId="24" fillId="0" borderId="14" xfId="0" applyNumberFormat="1" applyFont="1" applyBorder="1"/>
    <xf numFmtId="3" fontId="0" fillId="0" borderId="2" xfId="0" applyNumberFormat="1" applyBorder="1" applyAlignment="1">
      <alignment horizontal="center"/>
    </xf>
    <xf numFmtId="3" fontId="0" fillId="6" borderId="23" xfId="0" applyNumberFormat="1" applyFill="1" applyBorder="1"/>
    <xf numFmtId="4" fontId="0" fillId="5" borderId="0" xfId="0" applyNumberFormat="1" applyFill="1"/>
    <xf numFmtId="3" fontId="0" fillId="0" borderId="2" xfId="0" applyNumberFormat="1" applyBorder="1"/>
    <xf numFmtId="3" fontId="0" fillId="0" borderId="1" xfId="0" applyNumberFormat="1" applyBorder="1"/>
    <xf numFmtId="3" fontId="0" fillId="0" borderId="14" xfId="0" applyNumberFormat="1" applyBorder="1"/>
    <xf numFmtId="3" fontId="5" fillId="0" borderId="10" xfId="0" applyNumberFormat="1" applyFont="1" applyBorder="1"/>
    <xf numFmtId="0" fontId="5" fillId="0" borderId="10" xfId="0" applyFont="1" applyBorder="1"/>
    <xf numFmtId="3" fontId="0" fillId="6" borderId="3" xfId="0" applyNumberFormat="1" applyFill="1" applyBorder="1"/>
    <xf numFmtId="10" fontId="0" fillId="0" borderId="20" xfId="0" applyNumberFormat="1" applyBorder="1"/>
    <xf numFmtId="3" fontId="0" fillId="6" borderId="11" xfId="0" applyNumberFormat="1" applyFill="1" applyBorder="1"/>
    <xf numFmtId="3" fontId="0" fillId="7" borderId="7" xfId="0" applyNumberFormat="1" applyFill="1" applyBorder="1"/>
    <xf numFmtId="3" fontId="0" fillId="7" borderId="5" xfId="0" applyNumberFormat="1" applyFill="1" applyBorder="1"/>
    <xf numFmtId="3" fontId="0" fillId="5" borderId="15" xfId="0" applyNumberFormat="1" applyFill="1" applyBorder="1"/>
    <xf numFmtId="3" fontId="0" fillId="3" borderId="0" xfId="0" applyNumberFormat="1" applyFill="1"/>
    <xf numFmtId="3" fontId="0" fillId="3" borderId="12" xfId="0" applyNumberFormat="1" applyFill="1" applyBorder="1"/>
    <xf numFmtId="3" fontId="5" fillId="0" borderId="0" xfId="0" applyNumberFormat="1" applyFont="1"/>
    <xf numFmtId="3" fontId="5" fillId="0" borderId="15" xfId="0" applyNumberFormat="1" applyFont="1" applyBorder="1"/>
    <xf numFmtId="0" fontId="0" fillId="5" borderId="15" xfId="0" applyFill="1" applyBorder="1"/>
    <xf numFmtId="3" fontId="0" fillId="0" borderId="15" xfId="0" applyNumberFormat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3" fontId="0" fillId="6" borderId="32" xfId="0" applyNumberFormat="1" applyFill="1" applyBorder="1"/>
    <xf numFmtId="3" fontId="0" fillId="6" borderId="2" xfId="0" applyNumberFormat="1" applyFill="1" applyBorder="1"/>
    <xf numFmtId="3" fontId="0" fillId="6" borderId="4" xfId="0" applyNumberFormat="1" applyFill="1" applyBorder="1"/>
    <xf numFmtId="3" fontId="0" fillId="6" borderId="22" xfId="0" applyNumberFormat="1" applyFill="1" applyBorder="1"/>
    <xf numFmtId="0" fontId="0" fillId="6" borderId="12" xfId="0" applyFill="1" applyBorder="1"/>
    <xf numFmtId="0" fontId="0" fillId="6" borderId="13" xfId="0" applyFill="1" applyBorder="1"/>
    <xf numFmtId="9" fontId="0" fillId="0" borderId="20" xfId="0" applyNumberFormat="1" applyBorder="1"/>
    <xf numFmtId="0" fontId="0" fillId="6" borderId="14" xfId="0" applyFill="1" applyBorder="1"/>
    <xf numFmtId="0" fontId="25" fillId="0" borderId="0" xfId="0" applyFont="1"/>
    <xf numFmtId="3" fontId="0" fillId="5" borderId="0" xfId="0" applyNumberFormat="1" applyFill="1" applyAlignment="1">
      <alignment horizontal="center"/>
    </xf>
    <xf numFmtId="3" fontId="0" fillId="3" borderId="13" xfId="0" applyNumberFormat="1" applyFill="1" applyBorder="1"/>
    <xf numFmtId="3" fontId="0" fillId="3" borderId="15" xfId="0" applyNumberFormat="1" applyFill="1" applyBorder="1" applyAlignment="1">
      <alignment horizontal="center"/>
    </xf>
    <xf numFmtId="167" fontId="0" fillId="3" borderId="12" xfId="0" applyNumberFormat="1" applyFill="1" applyBorder="1" applyAlignment="1">
      <alignment horizontal="center"/>
    </xf>
    <xf numFmtId="0" fontId="0" fillId="5" borderId="6" xfId="0" applyFill="1" applyBorder="1"/>
    <xf numFmtId="0" fontId="18" fillId="5" borderId="0" xfId="0" applyFont="1" applyFill="1"/>
    <xf numFmtId="3" fontId="0" fillId="6" borderId="18" xfId="0" applyNumberFormat="1" applyFill="1" applyBorder="1"/>
    <xf numFmtId="3" fontId="0" fillId="6" borderId="33" xfId="0" applyNumberFormat="1" applyFill="1" applyBorder="1"/>
    <xf numFmtId="3" fontId="0" fillId="6" borderId="34" xfId="0" applyNumberFormat="1" applyFill="1" applyBorder="1"/>
    <xf numFmtId="3" fontId="0" fillId="6" borderId="35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0" fontId="0" fillId="6" borderId="16" xfId="0" applyFill="1" applyBorder="1"/>
    <xf numFmtId="0" fontId="0" fillId="6" borderId="17" xfId="0" applyFill="1" applyBorder="1"/>
    <xf numFmtId="3" fontId="0" fillId="6" borderId="20" xfId="0" applyNumberFormat="1" applyFill="1" applyBorder="1"/>
    <xf numFmtId="3" fontId="0" fillId="6" borderId="16" xfId="0" applyNumberFormat="1" applyFill="1" applyBorder="1"/>
    <xf numFmtId="3" fontId="0" fillId="6" borderId="36" xfId="0" applyNumberFormat="1" applyFill="1" applyBorder="1"/>
    <xf numFmtId="3" fontId="0" fillId="6" borderId="17" xfId="0" applyNumberFormat="1" applyFill="1" applyBorder="1"/>
    <xf numFmtId="3" fontId="0" fillId="6" borderId="37" xfId="0" applyNumberFormat="1" applyFill="1" applyBorder="1"/>
    <xf numFmtId="3" fontId="0" fillId="6" borderId="38" xfId="0" applyNumberFormat="1" applyFill="1" applyBorder="1"/>
    <xf numFmtId="3" fontId="0" fillId="6" borderId="39" xfId="0" applyNumberFormat="1" applyFill="1" applyBorder="1"/>
    <xf numFmtId="3" fontId="0" fillId="6" borderId="40" xfId="0" applyNumberFormat="1" applyFill="1" applyBorder="1"/>
    <xf numFmtId="3" fontId="0" fillId="3" borderId="14" xfId="0" applyNumberFormat="1" applyFill="1" applyBorder="1"/>
    <xf numFmtId="0" fontId="0" fillId="6" borderId="41" xfId="0" applyFill="1" applyBorder="1"/>
    <xf numFmtId="0" fontId="0" fillId="6" borderId="42" xfId="0" applyFill="1" applyBorder="1"/>
    <xf numFmtId="0" fontId="0" fillId="0" borderId="20" xfId="0" applyBorder="1"/>
    <xf numFmtId="3" fontId="0" fillId="6" borderId="24" xfId="0" applyNumberFormat="1" applyFill="1" applyBorder="1"/>
    <xf numFmtId="3" fontId="0" fillId="6" borderId="42" xfId="0" applyNumberFormat="1" applyFill="1" applyBorder="1"/>
    <xf numFmtId="3" fontId="0" fillId="3" borderId="20" xfId="0" applyNumberFormat="1" applyFill="1" applyBorder="1"/>
    <xf numFmtId="3" fontId="19" fillId="6" borderId="15" xfId="0" applyNumberFormat="1" applyFont="1" applyFill="1" applyBorder="1"/>
    <xf numFmtId="3" fontId="19" fillId="2" borderId="0" xfId="0" applyNumberFormat="1" applyFont="1" applyFill="1"/>
    <xf numFmtId="3" fontId="0" fillId="6" borderId="43" xfId="0" applyNumberFormat="1" applyFill="1" applyBorder="1"/>
    <xf numFmtId="3" fontId="0" fillId="6" borderId="10" xfId="0" applyNumberFormat="1" applyFill="1" applyBorder="1"/>
    <xf numFmtId="3" fontId="0" fillId="6" borderId="6" xfId="0" applyNumberFormat="1" applyFill="1" applyBorder="1"/>
    <xf numFmtId="0" fontId="0" fillId="6" borderId="6" xfId="0" applyFill="1" applyBorder="1"/>
    <xf numFmtId="3" fontId="0" fillId="6" borderId="44" xfId="0" applyNumberFormat="1" applyFill="1" applyBorder="1"/>
    <xf numFmtId="3" fontId="18" fillId="0" borderId="15" xfId="0" applyNumberFormat="1" applyFont="1" applyBorder="1"/>
    <xf numFmtId="3" fontId="18" fillId="2" borderId="0" xfId="0" applyNumberFormat="1" applyFont="1" applyFill="1"/>
    <xf numFmtId="0" fontId="0" fillId="6" borderId="18" xfId="0" applyFill="1" applyBorder="1" applyAlignment="1">
      <alignment horizontal="left"/>
    </xf>
    <xf numFmtId="0" fontId="0" fillId="6" borderId="19" xfId="0" applyFill="1" applyBorder="1"/>
    <xf numFmtId="0" fontId="0" fillId="6" borderId="20" xfId="0" applyFill="1" applyBorder="1"/>
    <xf numFmtId="3" fontId="4" fillId="6" borderId="15" xfId="0" applyNumberFormat="1" applyFont="1" applyFill="1" applyBorder="1"/>
    <xf numFmtId="0" fontId="0" fillId="6" borderId="24" xfId="0" applyFill="1" applyBorder="1"/>
    <xf numFmtId="0" fontId="0" fillId="6" borderId="0" xfId="0" applyFill="1"/>
    <xf numFmtId="3" fontId="0" fillId="6" borderId="0" xfId="0" applyNumberFormat="1" applyFill="1"/>
    <xf numFmtId="0" fontId="0" fillId="6" borderId="4" xfId="0" applyFill="1" applyBorder="1"/>
    <xf numFmtId="3" fontId="0" fillId="6" borderId="45" xfId="0" applyNumberFormat="1" applyFill="1" applyBorder="1"/>
    <xf numFmtId="0" fontId="0" fillId="6" borderId="46" xfId="0" applyFill="1" applyBorder="1"/>
    <xf numFmtId="3" fontId="0" fillId="6" borderId="47" xfId="0" applyNumberFormat="1" applyFill="1" applyBorder="1"/>
    <xf numFmtId="0" fontId="0" fillId="6" borderId="48" xfId="0" applyFill="1" applyBorder="1"/>
    <xf numFmtId="3" fontId="0" fillId="2" borderId="4" xfId="0" applyNumberFormat="1" applyFill="1" applyBorder="1" applyAlignment="1">
      <alignment horizontal="center"/>
    </xf>
    <xf numFmtId="0" fontId="0" fillId="0" borderId="0" xfId="0" applyProtection="1">
      <protection locked="0"/>
    </xf>
    <xf numFmtId="14" fontId="5" fillId="0" borderId="0" xfId="0" applyNumberFormat="1" applyFont="1"/>
    <xf numFmtId="3" fontId="18" fillId="0" borderId="0" xfId="0" applyNumberFormat="1" applyFont="1" applyAlignment="1">
      <alignment horizontal="right"/>
    </xf>
    <xf numFmtId="2" fontId="0" fillId="0" borderId="0" xfId="0" applyNumberFormat="1"/>
    <xf numFmtId="3" fontId="0" fillId="0" borderId="0" xfId="0" applyNumberFormat="1" applyAlignment="1" applyProtection="1">
      <alignment horizontal="left"/>
      <protection locked="0"/>
    </xf>
    <xf numFmtId="166" fontId="18" fillId="0" borderId="15" xfId="0" applyNumberFormat="1" applyFont="1" applyBorder="1" applyAlignment="1">
      <alignment horizontal="center"/>
    </xf>
    <xf numFmtId="0" fontId="27" fillId="0" borderId="0" xfId="0" applyFont="1"/>
    <xf numFmtId="0" fontId="0" fillId="0" borderId="4" xfId="0" applyBorder="1"/>
    <xf numFmtId="0" fontId="0" fillId="0" borderId="15" xfId="0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3" xfId="0" applyNumberFormat="1" applyBorder="1"/>
    <xf numFmtId="0" fontId="0" fillId="0" borderId="0" xfId="0" applyAlignment="1">
      <alignment horizontal="right"/>
    </xf>
    <xf numFmtId="3" fontId="18" fillId="6" borderId="14" xfId="0" applyNumberFormat="1" applyFont="1" applyFill="1" applyBorder="1"/>
    <xf numFmtId="3" fontId="18" fillId="6" borderId="15" xfId="0" applyNumberFormat="1" applyFont="1" applyFill="1" applyBorder="1"/>
    <xf numFmtId="0" fontId="0" fillId="0" borderId="0" xfId="0" applyAlignment="1">
      <alignment horizontal="left"/>
    </xf>
    <xf numFmtId="2" fontId="0" fillId="0" borderId="15" xfId="0" applyNumberFormat="1" applyBorder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0" fontId="28" fillId="0" borderId="0" xfId="0" applyFont="1"/>
    <xf numFmtId="0" fontId="0" fillId="0" borderId="1" xfId="0" applyBorder="1"/>
    <xf numFmtId="0" fontId="19" fillId="0" borderId="0" xfId="0" applyFont="1"/>
    <xf numFmtId="168" fontId="0" fillId="0" borderId="15" xfId="0" applyNumberFormat="1" applyBorder="1" applyProtection="1">
      <protection locked="0"/>
    </xf>
    <xf numFmtId="169" fontId="0" fillId="0" borderId="15" xfId="0" applyNumberFormat="1" applyBorder="1" applyAlignment="1">
      <alignment horizontal="right"/>
    </xf>
    <xf numFmtId="169" fontId="0" fillId="0" borderId="15" xfId="0" applyNumberFormat="1" applyBorder="1"/>
    <xf numFmtId="168" fontId="0" fillId="0" borderId="0" xfId="0" applyNumberFormat="1"/>
    <xf numFmtId="169" fontId="0" fillId="0" borderId="0" xfId="0" applyNumberFormat="1"/>
    <xf numFmtId="169" fontId="0" fillId="0" borderId="15" xfId="0" applyNumberFormat="1" applyBorder="1" applyProtection="1">
      <protection locked="0"/>
    </xf>
    <xf numFmtId="0" fontId="29" fillId="0" borderId="0" xfId="0" applyFont="1"/>
    <xf numFmtId="169" fontId="4" fillId="0" borderId="20" xfId="0" applyNumberFormat="1" applyFont="1" applyBorder="1"/>
    <xf numFmtId="170" fontId="4" fillId="0" borderId="20" xfId="0" applyNumberFormat="1" applyFont="1" applyBorder="1" applyProtection="1">
      <protection locked="0"/>
    </xf>
    <xf numFmtId="0" fontId="5" fillId="2" borderId="7" xfId="0" applyFont="1" applyFill="1" applyBorder="1" applyProtection="1">
      <protection locked="0"/>
    </xf>
    <xf numFmtId="14" fontId="0" fillId="0" borderId="0" xfId="0" applyNumberFormat="1"/>
    <xf numFmtId="0" fontId="5" fillId="0" borderId="49" xfId="0" applyFont="1" applyBorder="1"/>
    <xf numFmtId="0" fontId="5" fillId="0" borderId="50" xfId="0" applyFont="1" applyBorder="1"/>
    <xf numFmtId="0" fontId="5" fillId="0" borderId="51" xfId="0" applyFont="1" applyBorder="1"/>
    <xf numFmtId="0" fontId="0" fillId="0" borderId="52" xfId="0" applyBorder="1"/>
    <xf numFmtId="0" fontId="0" fillId="0" borderId="53" xfId="0" applyBorder="1"/>
    <xf numFmtId="0" fontId="0" fillId="0" borderId="50" xfId="0" applyBorder="1"/>
    <xf numFmtId="0" fontId="0" fillId="0" borderId="51" xfId="0" applyBorder="1"/>
    <xf numFmtId="0" fontId="0" fillId="0" borderId="49" xfId="0" applyBorder="1"/>
    <xf numFmtId="0" fontId="0" fillId="0" borderId="54" xfId="0" applyBorder="1" applyProtection="1">
      <protection locked="0"/>
    </xf>
    <xf numFmtId="3" fontId="0" fillId="8" borderId="6" xfId="0" applyNumberFormat="1" applyFill="1" applyBorder="1" applyProtection="1">
      <protection locked="0"/>
    </xf>
    <xf numFmtId="3" fontId="0" fillId="0" borderId="15" xfId="0" applyNumberFormat="1" applyBorder="1" applyAlignment="1">
      <alignment horizontal="center"/>
    </xf>
    <xf numFmtId="0" fontId="5" fillId="2" borderId="7" xfId="0" applyFont="1" applyFill="1" applyBorder="1"/>
    <xf numFmtId="3" fontId="0" fillId="2" borderId="9" xfId="0" applyNumberFormat="1" applyFill="1" applyBorder="1"/>
    <xf numFmtId="0" fontId="11" fillId="2" borderId="55" xfId="0" applyFont="1" applyFill="1" applyBorder="1"/>
    <xf numFmtId="3" fontId="0" fillId="2" borderId="56" xfId="0" applyNumberFormat="1" applyFill="1" applyBorder="1"/>
    <xf numFmtId="3" fontId="0" fillId="2" borderId="57" xfId="0" applyNumberFormat="1" applyFill="1" applyBorder="1" applyAlignment="1">
      <alignment horizontal="right"/>
    </xf>
    <xf numFmtId="3" fontId="0" fillId="2" borderId="58" xfId="0" applyNumberForma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0" fillId="2" borderId="0" xfId="0" applyNumberFormat="1" applyFill="1" applyAlignment="1">
      <alignment horizontal="right"/>
    </xf>
    <xf numFmtId="3" fontId="0" fillId="2" borderId="0" xfId="0" applyNumberFormat="1" applyFill="1" applyProtection="1">
      <protection locked="0"/>
    </xf>
    <xf numFmtId="3" fontId="0" fillId="10" borderId="0" xfId="0" applyNumberFormat="1" applyFill="1"/>
    <xf numFmtId="3" fontId="0" fillId="3" borderId="4" xfId="0" applyNumberFormat="1" applyFill="1" applyBorder="1"/>
    <xf numFmtId="0" fontId="0" fillId="10" borderId="59" xfId="0" applyFill="1" applyBorder="1"/>
    <xf numFmtId="3" fontId="0" fillId="10" borderId="59" xfId="0" applyNumberFormat="1" applyFill="1" applyBorder="1"/>
    <xf numFmtId="0" fontId="0" fillId="3" borderId="12" xfId="0" applyFill="1" applyBorder="1"/>
    <xf numFmtId="3" fontId="0" fillId="3" borderId="3" xfId="0" applyNumberFormat="1" applyFill="1" applyBorder="1"/>
    <xf numFmtId="3" fontId="0" fillId="10" borderId="60" xfId="0" applyNumberFormat="1" applyFill="1" applyBorder="1"/>
    <xf numFmtId="3" fontId="0" fillId="11" borderId="59" xfId="0" applyNumberFormat="1" applyFill="1" applyBorder="1"/>
    <xf numFmtId="0" fontId="0" fillId="12" borderId="59" xfId="0" applyFill="1" applyBorder="1"/>
    <xf numFmtId="0" fontId="26" fillId="0" borderId="0" xfId="0" applyFont="1"/>
    <xf numFmtId="3" fontId="17" fillId="0" borderId="0" xfId="0" applyNumberFormat="1" applyFont="1"/>
    <xf numFmtId="10" fontId="17" fillId="0" borderId="0" xfId="0" applyNumberFormat="1" applyFont="1"/>
    <xf numFmtId="3" fontId="0" fillId="2" borderId="59" xfId="0" applyNumberFormat="1" applyFill="1" applyBorder="1" applyAlignment="1" applyProtection="1">
      <alignment horizontal="right"/>
      <protection locked="0"/>
    </xf>
    <xf numFmtId="10" fontId="0" fillId="0" borderId="12" xfId="0" applyNumberFormat="1" applyBorder="1" applyAlignment="1" applyProtection="1">
      <alignment horizontal="center"/>
      <protection locked="0"/>
    </xf>
    <xf numFmtId="3" fontId="0" fillId="0" borderId="59" xfId="0" applyNumberFormat="1" applyBorder="1" applyAlignment="1">
      <alignment horizontal="right"/>
    </xf>
    <xf numFmtId="3" fontId="0" fillId="9" borderId="59" xfId="0" applyNumberFormat="1" applyFill="1" applyBorder="1" applyAlignment="1">
      <alignment horizontal="right"/>
    </xf>
    <xf numFmtId="3" fontId="0" fillId="0" borderId="54" xfId="0" applyNumberFormat="1" applyBorder="1" applyAlignment="1" applyProtection="1">
      <alignment horizontal="right"/>
      <protection locked="0"/>
    </xf>
    <xf numFmtId="3" fontId="5" fillId="0" borderId="61" xfId="0" applyNumberFormat="1" applyFont="1" applyBorder="1"/>
    <xf numFmtId="0" fontId="0" fillId="0" borderId="62" xfId="0" applyBorder="1"/>
    <xf numFmtId="0" fontId="0" fillId="0" borderId="60" xfId="0" applyBorder="1"/>
    <xf numFmtId="3" fontId="0" fillId="0" borderId="59" xfId="0" applyNumberFormat="1" applyBorder="1"/>
    <xf numFmtId="0" fontId="0" fillId="0" borderId="59" xfId="0" applyBorder="1"/>
    <xf numFmtId="3" fontId="0" fillId="0" borderId="61" xfId="0" applyNumberFormat="1" applyBorder="1"/>
    <xf numFmtId="3" fontId="0" fillId="0" borderId="62" xfId="0" applyNumberFormat="1" applyBorder="1"/>
    <xf numFmtId="3" fontId="5" fillId="0" borderId="7" xfId="0" applyNumberFormat="1" applyFont="1" applyBorder="1"/>
    <xf numFmtId="10" fontId="5" fillId="0" borderId="7" xfId="0" applyNumberFormat="1" applyFont="1" applyBorder="1" applyAlignment="1" applyProtection="1">
      <alignment horizontal="center"/>
      <protection locked="0"/>
    </xf>
    <xf numFmtId="10" fontId="5" fillId="0" borderId="1" xfId="0" applyNumberFormat="1" applyFont="1" applyBorder="1" applyAlignment="1" applyProtection="1">
      <alignment horizontal="center"/>
      <protection locked="0"/>
    </xf>
    <xf numFmtId="10" fontId="5" fillId="0" borderId="15" xfId="0" applyNumberFormat="1" applyFont="1" applyBorder="1" applyAlignment="1" applyProtection="1">
      <alignment horizontal="center"/>
      <protection locked="0"/>
    </xf>
    <xf numFmtId="10" fontId="5" fillId="0" borderId="15" xfId="0" applyNumberFormat="1" applyFont="1" applyBorder="1" applyProtection="1">
      <protection locked="0"/>
    </xf>
    <xf numFmtId="3" fontId="0" fillId="0" borderId="60" xfId="0" applyNumberFormat="1" applyBorder="1"/>
    <xf numFmtId="3" fontId="5" fillId="2" borderId="4" xfId="0" applyNumberFormat="1" applyFont="1" applyFill="1" applyBorder="1"/>
    <xf numFmtId="3" fontId="5" fillId="2" borderId="15" xfId="0" applyNumberFormat="1" applyFont="1" applyFill="1" applyBorder="1"/>
    <xf numFmtId="3" fontId="5" fillId="2" borderId="6" xfId="0" applyNumberFormat="1" applyFont="1" applyFill="1" applyBorder="1"/>
    <xf numFmtId="3" fontId="5" fillId="2" borderId="8" xfId="0" applyNumberFormat="1" applyFont="1" applyFill="1" applyBorder="1"/>
    <xf numFmtId="3" fontId="5" fillId="2" borderId="11" xfId="0" applyNumberFormat="1" applyFont="1" applyFill="1" applyBorder="1"/>
    <xf numFmtId="3" fontId="5" fillId="6" borderId="20" xfId="0" applyNumberFormat="1" applyFont="1" applyFill="1" applyBorder="1" applyProtection="1">
      <protection locked="0"/>
    </xf>
    <xf numFmtId="3" fontId="5" fillId="2" borderId="6" xfId="0" applyNumberFormat="1" applyFont="1" applyFill="1" applyBorder="1" applyProtection="1">
      <protection locked="0"/>
    </xf>
    <xf numFmtId="0" fontId="34" fillId="0" borderId="0" xfId="0" applyFont="1"/>
    <xf numFmtId="3" fontId="5" fillId="0" borderId="59" xfId="0" applyNumberFormat="1" applyFont="1" applyBorder="1"/>
    <xf numFmtId="2" fontId="5" fillId="0" borderId="0" xfId="0" applyNumberFormat="1" applyFont="1" applyAlignment="1">
      <alignment horizontal="center"/>
    </xf>
    <xf numFmtId="10" fontId="5" fillId="2" borderId="5" xfId="0" applyNumberFormat="1" applyFont="1" applyFill="1" applyBorder="1" applyAlignment="1">
      <alignment horizontal="right"/>
    </xf>
    <xf numFmtId="10" fontId="5" fillId="0" borderId="4" xfId="0" applyNumberFormat="1" applyFont="1" applyBorder="1"/>
    <xf numFmtId="3" fontId="21" fillId="3" borderId="2" xfId="0" applyNumberFormat="1" applyFont="1" applyFill="1" applyBorder="1" applyAlignment="1">
      <alignment horizontal="left"/>
    </xf>
    <xf numFmtId="3" fontId="18" fillId="3" borderId="6" xfId="0" applyNumberFormat="1" applyFont="1" applyFill="1" applyBorder="1"/>
    <xf numFmtId="3" fontId="18" fillId="3" borderId="9" xfId="0" applyNumberFormat="1" applyFont="1" applyFill="1" applyBorder="1"/>
    <xf numFmtId="0" fontId="4" fillId="0" borderId="0" xfId="0" applyFont="1" applyAlignment="1">
      <alignment horizontal="left"/>
    </xf>
    <xf numFmtId="10" fontId="0" fillId="0" borderId="59" xfId="0" applyNumberFormat="1" applyBorder="1" applyAlignment="1">
      <alignment horizontal="center"/>
    </xf>
    <xf numFmtId="3" fontId="5" fillId="0" borderId="54" xfId="0" applyNumberFormat="1" applyFont="1" applyBorder="1"/>
    <xf numFmtId="3" fontId="5" fillId="0" borderId="63" xfId="0" applyNumberFormat="1" applyFont="1" applyBorder="1"/>
    <xf numFmtId="10" fontId="0" fillId="0" borderId="5" xfId="0" applyNumberFormat="1" applyBorder="1" applyAlignment="1">
      <alignment horizontal="center"/>
    </xf>
    <xf numFmtId="3" fontId="23" fillId="0" borderId="62" xfId="0" applyNumberFormat="1" applyFont="1" applyBorder="1"/>
    <xf numFmtId="0" fontId="5" fillId="0" borderId="62" xfId="0" applyFont="1" applyBorder="1"/>
    <xf numFmtId="3" fontId="24" fillId="0" borderId="60" xfId="0" applyNumberFormat="1" applyFont="1" applyBorder="1"/>
    <xf numFmtId="3" fontId="5" fillId="0" borderId="62" xfId="0" applyNumberFormat="1" applyFont="1" applyBorder="1"/>
    <xf numFmtId="3" fontId="25" fillId="0" borderId="0" xfId="0" applyNumberFormat="1" applyFont="1"/>
    <xf numFmtId="3" fontId="0" fillId="0" borderId="4" xfId="0" applyNumberFormat="1" applyBorder="1" applyProtection="1">
      <protection locked="0"/>
    </xf>
    <xf numFmtId="3" fontId="5" fillId="2" borderId="12" xfId="0" applyNumberFormat="1" applyFont="1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left"/>
    </xf>
    <xf numFmtId="3" fontId="5" fillId="2" borderId="64" xfId="0" applyNumberFormat="1" applyFont="1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3" fontId="5" fillId="2" borderId="65" xfId="0" applyNumberFormat="1" applyFont="1" applyFill="1" applyBorder="1" applyAlignment="1" applyProtection="1">
      <alignment horizontal="left"/>
      <protection locked="0"/>
    </xf>
    <xf numFmtId="0" fontId="0" fillId="0" borderId="66" xfId="0" applyBorder="1" applyAlignment="1">
      <alignment horizontal="left"/>
    </xf>
    <xf numFmtId="3" fontId="5" fillId="2" borderId="12" xfId="0" applyNumberFormat="1" applyFont="1" applyFill="1" applyBorder="1" applyProtection="1">
      <protection locked="0"/>
    </xf>
    <xf numFmtId="0" fontId="0" fillId="0" borderId="14" xfId="0" applyBorder="1"/>
    <xf numFmtId="3" fontId="5" fillId="2" borderId="67" xfId="0" applyNumberFormat="1" applyFont="1" applyFill="1" applyBorder="1" applyAlignment="1">
      <alignment horizontal="left"/>
    </xf>
    <xf numFmtId="0" fontId="0" fillId="0" borderId="68" xfId="0" applyBorder="1" applyAlignment="1">
      <alignment horizontal="left"/>
    </xf>
    <xf numFmtId="3" fontId="5" fillId="2" borderId="69" xfId="0" applyNumberFormat="1" applyFont="1" applyFill="1" applyBorder="1" applyAlignment="1" applyProtection="1">
      <alignment horizontal="left"/>
      <protection locked="0"/>
    </xf>
    <xf numFmtId="0" fontId="0" fillId="0" borderId="70" xfId="0" applyBorder="1" applyAlignment="1">
      <alignment horizontal="left"/>
    </xf>
    <xf numFmtId="3" fontId="5" fillId="2" borderId="67" xfId="0" applyNumberFormat="1" applyFont="1" applyFill="1" applyBorder="1" applyAlignment="1" applyProtection="1">
      <alignment horizontal="left"/>
      <protection locked="0"/>
    </xf>
    <xf numFmtId="0" fontId="0" fillId="0" borderId="71" xfId="0" applyBorder="1" applyAlignment="1">
      <alignment horizontal="left"/>
    </xf>
    <xf numFmtId="3" fontId="9" fillId="2" borderId="12" xfId="0" applyNumberFormat="1" applyFont="1" applyFill="1" applyBorder="1" applyProtection="1">
      <protection locked="0"/>
    </xf>
    <xf numFmtId="3" fontId="5" fillId="2" borderId="69" xfId="0" applyNumberFormat="1" applyFont="1" applyFill="1" applyBorder="1" applyProtection="1">
      <protection locked="0"/>
    </xf>
    <xf numFmtId="0" fontId="0" fillId="0" borderId="70" xfId="0" applyBorder="1"/>
    <xf numFmtId="3" fontId="8" fillId="2" borderId="5" xfId="0" applyNumberFormat="1" applyFont="1" applyFill="1" applyBorder="1" applyAlignment="1" applyProtection="1">
      <alignment horizontal="left" vertical="top"/>
      <protection locked="0"/>
    </xf>
    <xf numFmtId="0" fontId="8" fillId="2" borderId="5" xfId="0" applyFont="1" applyFill="1" applyBorder="1" applyProtection="1">
      <protection locked="0"/>
    </xf>
    <xf numFmtId="3" fontId="8" fillId="2" borderId="5" xfId="0" applyNumberFormat="1" applyFont="1" applyFill="1" applyBorder="1" applyProtection="1">
      <protection locked="0"/>
    </xf>
    <xf numFmtId="0" fontId="8" fillId="2" borderId="6" xfId="0" applyFont="1" applyFill="1" applyBorder="1" applyAlignment="1">
      <alignment horizontal="left" vertical="top" wrapText="1"/>
    </xf>
    <xf numFmtId="3" fontId="8" fillId="2" borderId="6" xfId="0" applyNumberFormat="1" applyFont="1" applyFill="1" applyBorder="1" applyProtection="1">
      <protection locked="0"/>
    </xf>
    <xf numFmtId="0" fontId="8" fillId="2" borderId="6" xfId="0" applyFont="1" applyFill="1" applyBorder="1"/>
    <xf numFmtId="0" fontId="5" fillId="0" borderId="14" xfId="0" applyFont="1" applyBorder="1" applyAlignment="1">
      <alignment horizontal="left"/>
    </xf>
    <xf numFmtId="3" fontId="5" fillId="2" borderId="67" xfId="0" applyNumberFormat="1" applyFont="1" applyFill="1" applyBorder="1" applyProtection="1">
      <protection locked="0"/>
    </xf>
    <xf numFmtId="0" fontId="5" fillId="0" borderId="71" xfId="0" applyFont="1" applyBorder="1"/>
    <xf numFmtId="0" fontId="8" fillId="2" borderId="6" xfId="0" applyFont="1" applyFill="1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53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72" xfId="0" applyBorder="1" applyProtection="1">
      <protection locked="0"/>
    </xf>
    <xf numFmtId="0" fontId="5" fillId="0" borderId="49" xfId="0" applyFont="1" applyBorder="1"/>
    <xf numFmtId="0" fontId="0" fillId="0" borderId="50" xfId="0" applyBorder="1"/>
    <xf numFmtId="0" fontId="0" fillId="0" borderId="51" xfId="0" applyBorder="1"/>
    <xf numFmtId="0" fontId="5" fillId="0" borderId="53" xfId="0" applyFont="1" applyBorder="1" applyProtection="1">
      <protection locked="0"/>
    </xf>
    <xf numFmtId="3" fontId="0" fillId="0" borderId="53" xfId="0" applyNumberFormat="1" applyBorder="1" applyProtection="1">
      <protection locked="0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72" xfId="0" applyBorder="1" applyAlignment="1">
      <alignment vertical="center"/>
    </xf>
    <xf numFmtId="3" fontId="0" fillId="0" borderId="49" xfId="0" applyNumberFormat="1" applyBorder="1" applyAlignment="1" applyProtection="1">
      <alignment vertical="center"/>
      <protection locked="0"/>
    </xf>
    <xf numFmtId="3" fontId="0" fillId="0" borderId="50" xfId="0" applyNumberFormat="1" applyBorder="1" applyAlignment="1" applyProtection="1">
      <alignment vertical="center"/>
      <protection locked="0"/>
    </xf>
    <xf numFmtId="3" fontId="0" fillId="0" borderId="51" xfId="0" applyNumberFormat="1" applyBorder="1" applyAlignment="1" applyProtection="1">
      <alignment vertical="center"/>
      <protection locked="0"/>
    </xf>
    <xf numFmtId="3" fontId="0" fillId="0" borderId="53" xfId="0" applyNumberFormat="1" applyBorder="1" applyAlignment="1" applyProtection="1">
      <alignment vertical="center"/>
      <protection locked="0"/>
    </xf>
    <xf numFmtId="3" fontId="0" fillId="0" borderId="52" xfId="0" applyNumberFormat="1" applyBorder="1" applyAlignment="1" applyProtection="1">
      <alignment vertical="center"/>
      <protection locked="0"/>
    </xf>
    <xf numFmtId="3" fontId="0" fillId="0" borderId="72" xfId="0" applyNumberFormat="1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0" fillId="0" borderId="52" xfId="0" applyBorder="1" applyAlignment="1" applyProtection="1">
      <alignment vertical="top" wrapText="1"/>
      <protection locked="0"/>
    </xf>
    <xf numFmtId="0" fontId="0" fillId="0" borderId="72" xfId="0" applyBorder="1" applyAlignment="1" applyProtection="1">
      <alignment vertical="top" wrapText="1"/>
      <protection locked="0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50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3" fontId="0" fillId="0" borderId="53" xfId="0" applyNumberForma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171" fontId="0" fillId="0" borderId="0" xfId="0" applyNumberFormat="1" applyAlignment="1">
      <alignment horizontal="left"/>
    </xf>
    <xf numFmtId="3" fontId="0" fillId="0" borderId="53" xfId="0" applyNumberFormat="1" applyBorder="1" applyAlignment="1" applyProtection="1">
      <alignment horizontal="left"/>
      <protection locked="0"/>
    </xf>
    <xf numFmtId="3" fontId="0" fillId="0" borderId="52" xfId="0" applyNumberFormat="1" applyBorder="1" applyAlignment="1" applyProtection="1">
      <alignment horizontal="left"/>
      <protection locked="0"/>
    </xf>
    <xf numFmtId="3" fontId="0" fillId="0" borderId="72" xfId="0" applyNumberFormat="1" applyBorder="1" applyAlignment="1" applyProtection="1">
      <alignment horizontal="left"/>
      <protection locked="0"/>
    </xf>
    <xf numFmtId="0" fontId="0" fillId="0" borderId="49" xfId="0" applyBorder="1"/>
    <xf numFmtId="0" fontId="0" fillId="0" borderId="53" xfId="0" applyBorder="1"/>
    <xf numFmtId="0" fontId="0" fillId="0" borderId="52" xfId="0" applyBorder="1"/>
    <xf numFmtId="0" fontId="0" fillId="0" borderId="72" xfId="0" applyBorder="1"/>
    <xf numFmtId="0" fontId="18" fillId="0" borderId="49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49" xfId="0" applyBorder="1" applyAlignment="1" applyProtection="1">
      <alignment vertical="center"/>
      <protection locked="0"/>
    </xf>
    <xf numFmtId="3" fontId="0" fillId="0" borderId="55" xfId="0" applyNumberFormat="1" applyBorder="1" applyAlignment="1" applyProtection="1">
      <alignment vertical="center"/>
      <protection locked="0"/>
    </xf>
    <xf numFmtId="3" fontId="0" fillId="0" borderId="79" xfId="0" applyNumberFormat="1" applyBorder="1" applyAlignment="1" applyProtection="1">
      <alignment vertical="center"/>
      <protection locked="0"/>
    </xf>
    <xf numFmtId="3" fontId="0" fillId="0" borderId="56" xfId="0" applyNumberFormat="1" applyBorder="1" applyAlignment="1" applyProtection="1">
      <alignment vertical="center"/>
      <protection locked="0"/>
    </xf>
    <xf numFmtId="3" fontId="0" fillId="0" borderId="57" xfId="0" applyNumberFormat="1" applyBorder="1" applyAlignment="1" applyProtection="1">
      <alignment vertical="center"/>
      <protection locked="0"/>
    </xf>
    <xf numFmtId="3" fontId="0" fillId="0" borderId="80" xfId="0" applyNumberFormat="1" applyBorder="1" applyAlignment="1" applyProtection="1">
      <alignment vertical="center"/>
      <protection locked="0"/>
    </xf>
    <xf numFmtId="3" fontId="0" fillId="0" borderId="58" xfId="0" applyNumberFormat="1" applyBorder="1" applyAlignment="1" applyProtection="1">
      <alignment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Tusent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EFEFE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2</xdr:col>
      <xdr:colOff>276225</xdr:colOff>
      <xdr:row>1</xdr:row>
      <xdr:rowOff>314325</xdr:rowOff>
    </xdr:to>
    <xdr:pic>
      <xdr:nvPicPr>
        <xdr:cNvPr id="1138" name="SmlVillan cmyk_ny04">
          <a:extLst>
            <a:ext uri="{FF2B5EF4-FFF2-40B4-BE49-F238E27FC236}">
              <a16:creationId xmlns:a16="http://schemas.microsoft.com/office/drawing/2014/main" id="{CA2D01A7-D2F7-5E92-C37C-BA0359984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14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2</xdr:col>
      <xdr:colOff>257175</xdr:colOff>
      <xdr:row>2</xdr:row>
      <xdr:rowOff>152400</xdr:rowOff>
    </xdr:to>
    <xdr:pic>
      <xdr:nvPicPr>
        <xdr:cNvPr id="2152" name="SmlVillan cmyk_ny04">
          <a:extLst>
            <a:ext uri="{FF2B5EF4-FFF2-40B4-BE49-F238E27FC236}">
              <a16:creationId xmlns:a16="http://schemas.microsoft.com/office/drawing/2014/main" id="{9ED36118-F4DA-D19F-68EB-BC893BE8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514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2</xdr:col>
      <xdr:colOff>104775</xdr:colOff>
      <xdr:row>2</xdr:row>
      <xdr:rowOff>228600</xdr:rowOff>
    </xdr:to>
    <xdr:pic>
      <xdr:nvPicPr>
        <xdr:cNvPr id="5224" name="SmlVillan cmyk_ny04">
          <a:extLst>
            <a:ext uri="{FF2B5EF4-FFF2-40B4-BE49-F238E27FC236}">
              <a16:creationId xmlns:a16="http://schemas.microsoft.com/office/drawing/2014/main" id="{61281271-1A51-D6AB-28B5-652FC7E1F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1514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2</xdr:col>
      <xdr:colOff>238125</xdr:colOff>
      <xdr:row>2</xdr:row>
      <xdr:rowOff>180975</xdr:rowOff>
    </xdr:to>
    <xdr:pic>
      <xdr:nvPicPr>
        <xdr:cNvPr id="3245" name="SmlVillan cmyk_ny04">
          <a:extLst>
            <a:ext uri="{FF2B5EF4-FFF2-40B4-BE49-F238E27FC236}">
              <a16:creationId xmlns:a16="http://schemas.microsoft.com/office/drawing/2014/main" id="{A7AB6FA4-3C0B-0D96-059A-CAF52820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514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4</xdr:col>
      <xdr:colOff>76200</xdr:colOff>
      <xdr:row>3</xdr:row>
      <xdr:rowOff>85725</xdr:rowOff>
    </xdr:to>
    <xdr:pic>
      <xdr:nvPicPr>
        <xdr:cNvPr id="7272" name="SmlVillan cmyk_ny04">
          <a:extLst>
            <a:ext uri="{FF2B5EF4-FFF2-40B4-BE49-F238E27FC236}">
              <a16:creationId xmlns:a16="http://schemas.microsoft.com/office/drawing/2014/main" id="{2F48CAAE-1D03-3043-E71A-4625546A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232"/>
  <sheetViews>
    <sheetView showGridLines="0" showZeros="0" tabSelected="1" topLeftCell="A35" zoomScale="140" zoomScaleNormal="140" workbookViewId="0">
      <selection activeCell="F37" sqref="F37"/>
    </sheetView>
  </sheetViews>
  <sheetFormatPr defaultRowHeight="12.75" x14ac:dyDescent="0.2"/>
  <cols>
    <col min="1" max="1" width="14" customWidth="1"/>
    <col min="2" max="2" width="4.85546875" customWidth="1"/>
    <col min="3" max="3" width="4.5703125" customWidth="1"/>
    <col min="4" max="6" width="11.5703125" customWidth="1"/>
    <col min="7" max="7" width="10.42578125" customWidth="1"/>
    <col min="8" max="8" width="15.28515625" customWidth="1"/>
    <col min="9" max="9" width="9.5703125" customWidth="1"/>
    <col min="10" max="13" width="8.85546875" hidden="1" customWidth="1"/>
  </cols>
  <sheetData>
    <row r="1" spans="1:24" ht="20.100000000000001" customHeight="1" x14ac:dyDescent="0.25">
      <c r="A1" s="1"/>
      <c r="B1" s="1"/>
      <c r="C1" s="1"/>
      <c r="D1" s="1"/>
      <c r="E1" s="4" t="s">
        <v>334</v>
      </c>
      <c r="F1" s="2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7.6" customHeight="1" x14ac:dyDescent="0.25">
      <c r="A2" s="1"/>
      <c r="B2" s="1"/>
      <c r="C2" s="1"/>
      <c r="D2" s="1"/>
      <c r="E2" s="4" t="s">
        <v>0</v>
      </c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1" customFormat="1" ht="10.5" customHeight="1" x14ac:dyDescent="0.2">
      <c r="A3" s="5" t="s">
        <v>1</v>
      </c>
      <c r="B3" s="6"/>
      <c r="C3" s="7"/>
      <c r="D3" s="6" t="s">
        <v>2</v>
      </c>
      <c r="E3" s="8"/>
      <c r="F3" s="9" t="s">
        <v>3</v>
      </c>
      <c r="G3" s="5" t="s">
        <v>4</v>
      </c>
      <c r="H3" s="8"/>
      <c r="I3" s="9" t="s">
        <v>5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">
      <c r="A4" s="416" t="s">
        <v>6</v>
      </c>
      <c r="B4" s="416"/>
      <c r="C4" s="416"/>
      <c r="D4" s="417" t="s">
        <v>386</v>
      </c>
      <c r="E4" s="417"/>
      <c r="F4" s="12" t="s">
        <v>7</v>
      </c>
      <c r="G4" s="418" t="s">
        <v>392</v>
      </c>
      <c r="H4" s="418"/>
      <c r="I4" s="13">
        <v>45931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95" customHeight="1" x14ac:dyDescent="0.2">
      <c r="A5" s="419"/>
      <c r="B5" s="419"/>
      <c r="C5" s="419"/>
      <c r="D5" s="420"/>
      <c r="E5" s="420"/>
      <c r="F5" s="14" t="s">
        <v>8</v>
      </c>
      <c r="G5" s="421"/>
      <c r="H5" s="421"/>
      <c r="I5" s="1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1" customFormat="1" ht="9.75" customHeight="1" x14ac:dyDescent="0.2">
      <c r="A6" s="16" t="s">
        <v>9</v>
      </c>
      <c r="B6" s="17"/>
      <c r="C6" s="18"/>
      <c r="D6" s="16" t="s">
        <v>10</v>
      </c>
      <c r="E6" s="19"/>
      <c r="F6" s="18"/>
      <c r="G6" s="20" t="s">
        <v>11</v>
      </c>
      <c r="H6" s="21"/>
      <c r="I6" s="2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4" customFormat="1" ht="12" x14ac:dyDescent="0.2">
      <c r="A7" s="420" t="s">
        <v>394</v>
      </c>
      <c r="B7" s="420"/>
      <c r="C7" s="420"/>
      <c r="D7" s="420"/>
      <c r="E7" s="420"/>
      <c r="F7" s="420"/>
      <c r="G7" s="425" t="s">
        <v>387</v>
      </c>
      <c r="H7" s="425"/>
      <c r="I7" s="425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0.35" customHeight="1" x14ac:dyDescent="0.2">
      <c r="A8" s="5" t="s">
        <v>12</v>
      </c>
      <c r="B8" s="6"/>
      <c r="C8" s="25"/>
      <c r="D8" s="339" t="s">
        <v>13</v>
      </c>
      <c r="E8" s="339" t="s">
        <v>339</v>
      </c>
      <c r="F8" s="339" t="s">
        <v>14</v>
      </c>
      <c r="G8" s="5" t="s">
        <v>15</v>
      </c>
      <c r="H8" s="25"/>
      <c r="I8" s="26" t="s">
        <v>16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 x14ac:dyDescent="0.2">
      <c r="A9" s="27" t="s">
        <v>17</v>
      </c>
      <c r="B9" s="28"/>
      <c r="C9" s="29"/>
      <c r="D9" s="340" t="s">
        <v>18</v>
      </c>
      <c r="E9" s="340" t="s">
        <v>340</v>
      </c>
      <c r="F9" s="340" t="s">
        <v>19</v>
      </c>
      <c r="G9" s="31" t="s">
        <v>20</v>
      </c>
      <c r="H9" s="29"/>
      <c r="I9" s="30" t="s">
        <v>21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 x14ac:dyDescent="0.2">
      <c r="A10" s="5" t="s">
        <v>22</v>
      </c>
      <c r="B10" s="6"/>
      <c r="C10" s="25"/>
      <c r="D10" s="32"/>
      <c r="E10" s="33"/>
      <c r="F10" s="33">
        <v>1916200</v>
      </c>
      <c r="G10" s="399" t="s">
        <v>394</v>
      </c>
      <c r="H10" s="422"/>
      <c r="I10" s="37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x14ac:dyDescent="0.2">
      <c r="A11" s="5" t="s">
        <v>10</v>
      </c>
      <c r="B11" s="6"/>
      <c r="C11" s="25"/>
      <c r="D11" s="32"/>
      <c r="E11" s="33"/>
      <c r="F11" s="33"/>
      <c r="G11" s="399"/>
      <c r="H11" s="422"/>
      <c r="I11" s="37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 thickBot="1" x14ac:dyDescent="0.25">
      <c r="A12" s="34" t="s">
        <v>23</v>
      </c>
      <c r="B12" s="35"/>
      <c r="C12" s="36"/>
      <c r="D12" s="37"/>
      <c r="E12" s="38"/>
      <c r="F12" s="37">
        <f>'Kalkyl-Tillval'!H46</f>
        <v>125100</v>
      </c>
      <c r="G12" s="423" t="s">
        <v>24</v>
      </c>
      <c r="H12" s="424"/>
      <c r="I12" s="37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3.5" customHeight="1" x14ac:dyDescent="0.2">
      <c r="A13" s="39" t="s">
        <v>25</v>
      </c>
      <c r="B13" s="40"/>
      <c r="C13" s="41"/>
      <c r="D13" s="42" t="s">
        <v>12</v>
      </c>
      <c r="E13" s="43"/>
      <c r="F13" s="44"/>
      <c r="G13" s="45" t="s">
        <v>26</v>
      </c>
      <c r="H13" s="46"/>
      <c r="I13" s="4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2.75" customHeight="1" thickBot="1" x14ac:dyDescent="0.25">
      <c r="A14" s="27" t="s">
        <v>27</v>
      </c>
      <c r="B14" s="28"/>
      <c r="C14" s="48"/>
      <c r="D14" s="47">
        <f>SUM(D10:D12)</f>
        <v>0</v>
      </c>
      <c r="E14" s="47">
        <f>SUM(E10:E12)</f>
        <v>0</v>
      </c>
      <c r="F14" s="47">
        <f>SUM(F10:F12)</f>
        <v>2041300</v>
      </c>
      <c r="G14" s="49">
        <f>D14+E14+F14</f>
        <v>2041300</v>
      </c>
      <c r="H14" s="50"/>
      <c r="I14" s="37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 x14ac:dyDescent="0.2">
      <c r="A15" s="5" t="s">
        <v>321</v>
      </c>
      <c r="B15" s="6"/>
      <c r="C15" s="25"/>
      <c r="D15" s="33"/>
      <c r="E15" s="33"/>
      <c r="F15" s="33" t="s">
        <v>12</v>
      </c>
      <c r="G15" s="401" t="s">
        <v>384</v>
      </c>
      <c r="H15" s="402"/>
      <c r="I15" s="37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 x14ac:dyDescent="0.2">
      <c r="A16" s="5" t="s">
        <v>28</v>
      </c>
      <c r="B16" s="6"/>
      <c r="C16" s="25"/>
      <c r="D16" s="33"/>
      <c r="E16" s="33"/>
      <c r="F16" s="33">
        <v>341000</v>
      </c>
      <c r="G16" s="405" t="s">
        <v>322</v>
      </c>
      <c r="H16" s="406"/>
      <c r="I16" s="37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5" ht="15" customHeight="1" x14ac:dyDescent="0.2">
      <c r="A17" s="60" t="s">
        <v>29</v>
      </c>
      <c r="B17" s="6"/>
      <c r="C17" s="25"/>
      <c r="D17" s="33"/>
      <c r="E17" s="33"/>
      <c r="F17" s="33"/>
      <c r="G17" s="405" t="s">
        <v>322</v>
      </c>
      <c r="H17" s="406"/>
      <c r="I17" s="37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5" ht="15" customHeight="1" x14ac:dyDescent="0.2">
      <c r="A18" s="60" t="s">
        <v>331</v>
      </c>
      <c r="B18" s="6"/>
      <c r="C18" s="25"/>
      <c r="D18" s="33"/>
      <c r="E18" s="33"/>
      <c r="F18" s="33"/>
      <c r="G18" s="405" t="s">
        <v>322</v>
      </c>
      <c r="H18" s="406"/>
      <c r="I18" s="37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ht="15" customHeight="1" x14ac:dyDescent="0.2">
      <c r="A19" s="60" t="s">
        <v>30</v>
      </c>
      <c r="B19" s="6"/>
      <c r="C19" s="25"/>
      <c r="D19" s="33"/>
      <c r="E19" s="33"/>
      <c r="F19" s="33" t="s">
        <v>12</v>
      </c>
      <c r="G19" s="405" t="s">
        <v>322</v>
      </c>
      <c r="H19" s="406"/>
      <c r="I19" s="37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5" ht="15" customHeight="1" x14ac:dyDescent="0.2">
      <c r="A20" s="60" t="s">
        <v>31</v>
      </c>
      <c r="B20" s="6"/>
      <c r="C20" s="25"/>
      <c r="D20" s="33"/>
      <c r="E20" s="33"/>
      <c r="F20" s="33"/>
      <c r="G20" s="405" t="s">
        <v>322</v>
      </c>
      <c r="H20" s="406"/>
      <c r="I20" s="37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ht="15" customHeight="1" x14ac:dyDescent="0.2">
      <c r="A21" s="60" t="s">
        <v>270</v>
      </c>
      <c r="B21" s="35"/>
      <c r="C21" s="36"/>
      <c r="D21" s="38"/>
      <c r="E21" s="38"/>
      <c r="F21" s="38"/>
      <c r="G21" s="405" t="s">
        <v>322</v>
      </c>
      <c r="H21" s="406"/>
      <c r="I21" s="37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ht="15" customHeight="1" thickBot="1" x14ac:dyDescent="0.25">
      <c r="A22" s="55" t="s">
        <v>32</v>
      </c>
      <c r="B22" s="35"/>
      <c r="C22" s="52"/>
      <c r="D22" s="38"/>
      <c r="E22" s="38"/>
      <c r="F22" s="38"/>
      <c r="G22" s="414" t="s">
        <v>322</v>
      </c>
      <c r="H22" s="415"/>
      <c r="I22" s="2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3"/>
    </row>
    <row r="23" spans="1:25" ht="12.75" customHeight="1" x14ac:dyDescent="0.2">
      <c r="A23" s="39" t="s">
        <v>33</v>
      </c>
      <c r="B23" s="40"/>
      <c r="C23" s="41"/>
      <c r="D23" s="43"/>
      <c r="E23" s="43"/>
      <c r="F23" s="333"/>
      <c r="G23" s="335" t="s">
        <v>26</v>
      </c>
      <c r="H23" s="336"/>
      <c r="I23" s="37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ht="15" customHeight="1" thickBot="1" x14ac:dyDescent="0.25">
      <c r="A24" s="27" t="s">
        <v>34</v>
      </c>
      <c r="B24" s="28"/>
      <c r="C24" s="48"/>
      <c r="D24" s="51">
        <f>SUM(D15:D22)</f>
        <v>0</v>
      </c>
      <c r="E24" s="51">
        <f>SUM(E15:E22)</f>
        <v>0</v>
      </c>
      <c r="F24" s="334">
        <f>SUM(F15:F22)</f>
        <v>341000</v>
      </c>
      <c r="G24" s="337">
        <f>D24+E24+F24</f>
        <v>341000</v>
      </c>
      <c r="H24" s="338"/>
      <c r="I24" s="37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5" ht="15" customHeight="1" x14ac:dyDescent="0.2">
      <c r="A25" s="34" t="s">
        <v>35</v>
      </c>
      <c r="B25" s="35"/>
      <c r="C25" s="36"/>
      <c r="D25" s="38"/>
      <c r="E25" s="38"/>
      <c r="F25" s="38">
        <v>399000</v>
      </c>
      <c r="G25" s="403" t="s">
        <v>393</v>
      </c>
      <c r="H25" s="404"/>
      <c r="I25" s="37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ht="15" customHeight="1" x14ac:dyDescent="0.2">
      <c r="A26" s="34" t="s">
        <v>36</v>
      </c>
      <c r="B26" s="35"/>
      <c r="C26" s="36"/>
      <c r="D26" s="37">
        <f>ROUND(IF(D25&lt;1,0,D25*0.015+825+50),-2)</f>
        <v>0</v>
      </c>
      <c r="E26" s="37">
        <f>ROUND(IF(E25&lt;1,0,E25*0.015+825+50),-2)</f>
        <v>0</v>
      </c>
      <c r="F26" s="37">
        <f>ROUND(IF(F25&lt;1,0,F25*0.015+825+50),-2)</f>
        <v>6900</v>
      </c>
      <c r="G26" s="399" t="s">
        <v>382</v>
      </c>
      <c r="H26" s="400"/>
      <c r="I26" s="37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5" ht="15" customHeight="1" x14ac:dyDescent="0.2">
      <c r="A27" s="34" t="s">
        <v>37</v>
      </c>
      <c r="B27" s="35"/>
      <c r="C27" s="36"/>
      <c r="D27" s="38"/>
      <c r="E27" s="38">
        <v>65000</v>
      </c>
      <c r="F27" s="38" t="s">
        <v>12</v>
      </c>
      <c r="G27" s="399" t="s">
        <v>379</v>
      </c>
      <c r="H27" s="400"/>
      <c r="I27" s="37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5" ht="15" customHeight="1" x14ac:dyDescent="0.2">
      <c r="A28" s="55" t="s">
        <v>323</v>
      </c>
      <c r="B28" s="35"/>
      <c r="C28" s="36"/>
      <c r="D28" s="38"/>
      <c r="E28" s="38"/>
      <c r="F28" s="38"/>
      <c r="G28" s="399" t="s">
        <v>380</v>
      </c>
      <c r="H28" s="400"/>
      <c r="I28" s="37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5" customHeight="1" x14ac:dyDescent="0.2">
      <c r="A29" s="34" t="s">
        <v>324</v>
      </c>
      <c r="B29" s="35"/>
      <c r="C29" s="36"/>
      <c r="D29" s="38"/>
      <c r="E29" s="38">
        <v>175000</v>
      </c>
      <c r="F29" s="38" t="s">
        <v>12</v>
      </c>
      <c r="G29" s="399" t="s">
        <v>395</v>
      </c>
      <c r="H29" s="400"/>
      <c r="I29" s="37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ht="15" customHeight="1" x14ac:dyDescent="0.2">
      <c r="A30" s="34" t="s">
        <v>325</v>
      </c>
      <c r="B30" s="35"/>
      <c r="C30" s="36"/>
      <c r="D30" s="38"/>
      <c r="E30" s="38">
        <v>50000</v>
      </c>
      <c r="F30" s="38" t="s">
        <v>12</v>
      </c>
      <c r="G30" s="399" t="s">
        <v>374</v>
      </c>
      <c r="H30" s="400"/>
      <c r="I30" s="37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ht="15" customHeight="1" x14ac:dyDescent="0.2">
      <c r="A31" s="55" t="s">
        <v>326</v>
      </c>
      <c r="B31" s="35"/>
      <c r="C31" s="36"/>
      <c r="D31" s="38"/>
      <c r="E31" s="38"/>
      <c r="F31" s="38"/>
      <c r="G31" s="399"/>
      <c r="H31" s="400"/>
      <c r="I31" s="37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ht="15" customHeight="1" x14ac:dyDescent="0.2">
      <c r="A32" s="60" t="s">
        <v>327</v>
      </c>
      <c r="B32" s="6"/>
      <c r="C32" s="25"/>
      <c r="D32" s="33"/>
      <c r="E32" s="33">
        <v>20000</v>
      </c>
      <c r="F32" s="33"/>
      <c r="G32" s="405" t="s">
        <v>381</v>
      </c>
      <c r="H32" s="406"/>
      <c r="I32" s="37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" customHeight="1" x14ac:dyDescent="0.2">
      <c r="A33" s="55" t="s">
        <v>38</v>
      </c>
      <c r="B33" s="35"/>
      <c r="C33" s="36"/>
      <c r="D33" s="38"/>
      <c r="E33" s="38"/>
      <c r="F33" s="38"/>
      <c r="G33" s="399" t="s">
        <v>328</v>
      </c>
      <c r="H33" s="400"/>
      <c r="I33" s="37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 x14ac:dyDescent="0.2">
      <c r="A34" s="55" t="s">
        <v>375</v>
      </c>
      <c r="B34" s="35"/>
      <c r="C34" s="36"/>
      <c r="D34" s="38"/>
      <c r="E34" s="38">
        <v>30000</v>
      </c>
      <c r="F34" s="38"/>
      <c r="G34" s="399" t="s">
        <v>375</v>
      </c>
      <c r="H34" s="400"/>
      <c r="I34" s="37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customHeight="1" x14ac:dyDescent="0.2">
      <c r="A35" s="320" t="s">
        <v>39</v>
      </c>
      <c r="B35" s="54"/>
      <c r="C35" s="36"/>
      <c r="D35" s="38"/>
      <c r="E35" s="38">
        <v>40000</v>
      </c>
      <c r="F35" s="38"/>
      <c r="G35" s="399" t="s">
        <v>376</v>
      </c>
      <c r="H35" s="400"/>
      <c r="I35" s="37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customHeight="1" x14ac:dyDescent="0.2">
      <c r="A36" s="34" t="s">
        <v>268</v>
      </c>
      <c r="B36" s="35"/>
      <c r="C36" s="36"/>
      <c r="D36" s="38"/>
      <c r="E36" s="38">
        <v>23000</v>
      </c>
      <c r="F36" s="38">
        <v>0</v>
      </c>
      <c r="G36" s="399" t="s">
        <v>377</v>
      </c>
      <c r="H36" s="400"/>
      <c r="I36" s="37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 x14ac:dyDescent="0.2">
      <c r="A37" s="34" t="s">
        <v>40</v>
      </c>
      <c r="B37" s="35"/>
      <c r="C37" s="36"/>
      <c r="D37" s="38"/>
      <c r="E37" s="38"/>
      <c r="F37" s="38"/>
      <c r="G37" s="399"/>
      <c r="H37" s="400"/>
      <c r="I37" s="37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 x14ac:dyDescent="0.2">
      <c r="A38" s="55" t="s">
        <v>329</v>
      </c>
      <c r="B38" s="35"/>
      <c r="C38" s="36"/>
      <c r="D38" s="38"/>
      <c r="E38" s="38"/>
      <c r="F38" s="38"/>
      <c r="G38" s="399"/>
      <c r="H38" s="400"/>
      <c r="I38" s="37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 thickBot="1" x14ac:dyDescent="0.25">
      <c r="A39" s="55" t="s">
        <v>330</v>
      </c>
      <c r="B39" s="35"/>
      <c r="C39" s="36"/>
      <c r="D39" s="38"/>
      <c r="E39" s="38"/>
      <c r="F39" s="38"/>
      <c r="G39" s="409"/>
      <c r="H39" s="410"/>
      <c r="I39" s="37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 x14ac:dyDescent="0.2">
      <c r="A40" s="39" t="s">
        <v>41</v>
      </c>
      <c r="B40" s="40"/>
      <c r="C40" s="41"/>
      <c r="D40" s="43"/>
      <c r="E40" s="43"/>
      <c r="F40" s="333"/>
      <c r="G40" s="335" t="s">
        <v>26</v>
      </c>
      <c r="H40" s="336"/>
      <c r="I40" s="376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 thickBot="1" x14ac:dyDescent="0.25">
      <c r="A41" s="27" t="s">
        <v>42</v>
      </c>
      <c r="B41" s="28"/>
      <c r="C41" s="48"/>
      <c r="D41" s="51">
        <f>SUM(D25:D39)</f>
        <v>0</v>
      </c>
      <c r="E41" s="51">
        <f>SUM(E25:E39)</f>
        <v>403000</v>
      </c>
      <c r="F41" s="51">
        <f>SUM(F25:F39)</f>
        <v>405900</v>
      </c>
      <c r="G41" s="337">
        <f>D41+E41+F41</f>
        <v>808900</v>
      </c>
      <c r="H41" s="338"/>
      <c r="I41" s="377"/>
      <c r="J41" s="3"/>
      <c r="K41" t="s">
        <v>43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 thickBot="1" x14ac:dyDescent="0.25">
      <c r="A42" s="5" t="s">
        <v>44</v>
      </c>
      <c r="B42" s="6"/>
      <c r="C42" s="25"/>
      <c r="D42" s="32"/>
      <c r="E42" s="37">
        <f>IF(G14=0,0,ROUND(M42*0.02+500,-2))</f>
        <v>55500</v>
      </c>
      <c r="F42" s="32"/>
      <c r="G42" s="403" t="s">
        <v>378</v>
      </c>
      <c r="H42" s="404"/>
      <c r="I42" s="373"/>
      <c r="J42" s="3"/>
      <c r="K42" s="56">
        <f>(G14+G24+50000)</f>
        <v>2432300</v>
      </c>
      <c r="L42" s="3"/>
      <c r="M42" s="56">
        <f>(G14+G24+G41+50000-'Kalkyl-Boende'!H24)</f>
        <v>2751200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 thickBot="1" x14ac:dyDescent="0.25">
      <c r="A43" s="5" t="s">
        <v>45</v>
      </c>
      <c r="B43" s="6"/>
      <c r="C43" s="57">
        <v>4.12</v>
      </c>
      <c r="D43" s="58"/>
      <c r="E43" s="59">
        <f>IF(G14=0,0,ROUND((K42-I49)*C43/100*2/12+K44*C43/100*4/12,-2))</f>
        <v>27800</v>
      </c>
      <c r="F43" s="32"/>
      <c r="G43" s="399" t="s">
        <v>46</v>
      </c>
      <c r="H43" s="400"/>
      <c r="I43" s="373"/>
      <c r="J43" s="3"/>
      <c r="K43" t="s">
        <v>47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 thickBot="1" x14ac:dyDescent="0.25">
      <c r="A44" s="34" t="s">
        <v>48</v>
      </c>
      <c r="B44" s="35"/>
      <c r="C44" s="29"/>
      <c r="D44" s="37"/>
      <c r="E44" s="37">
        <f>-TRUNC(E43*0.3,-2)</f>
        <v>-8300</v>
      </c>
      <c r="F44" s="37"/>
      <c r="G44" s="411"/>
      <c r="H44" s="412"/>
      <c r="I44" s="373"/>
      <c r="J44" s="3"/>
      <c r="K44" s="56">
        <f>G41</f>
        <v>808900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 x14ac:dyDescent="0.2">
      <c r="A45" s="39" t="s">
        <v>25</v>
      </c>
      <c r="B45" s="40"/>
      <c r="C45" s="41"/>
      <c r="D45" s="43"/>
      <c r="E45" s="43"/>
      <c r="F45" s="43"/>
      <c r="G45" s="45" t="s">
        <v>26</v>
      </c>
      <c r="H45" s="46"/>
      <c r="I45" s="4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 thickBot="1" x14ac:dyDescent="0.25">
      <c r="A46" s="27" t="s">
        <v>49</v>
      </c>
      <c r="B46" s="28"/>
      <c r="C46" s="48"/>
      <c r="D46" s="51">
        <f>SUM(D42:D44)</f>
        <v>0</v>
      </c>
      <c r="E46" s="51">
        <f>SUM(E42:E44)</f>
        <v>75000</v>
      </c>
      <c r="F46" s="51">
        <f>SUM(F42:F44)</f>
        <v>0</v>
      </c>
      <c r="G46" s="49">
        <f>D46+E46+F46</f>
        <v>75000</v>
      </c>
      <c r="H46" s="50"/>
      <c r="I46" s="37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 x14ac:dyDescent="0.2">
      <c r="A47" s="5" t="s">
        <v>50</v>
      </c>
      <c r="B47" s="6"/>
      <c r="C47" s="25"/>
      <c r="D47" s="33"/>
      <c r="E47" s="33"/>
      <c r="F47" s="33"/>
      <c r="G47" s="401"/>
      <c r="H47" s="402"/>
      <c r="I47" s="37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 thickBot="1" x14ac:dyDescent="0.25">
      <c r="A48" s="60" t="s">
        <v>51</v>
      </c>
      <c r="B48" s="61"/>
      <c r="C48" s="25"/>
      <c r="D48" s="33" t="s">
        <v>12</v>
      </c>
      <c r="E48" s="33"/>
      <c r="F48" s="33"/>
      <c r="G48" s="413"/>
      <c r="H48" s="406"/>
      <c r="I48" s="37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 thickBot="1" x14ac:dyDescent="0.25">
      <c r="A49" s="34" t="s">
        <v>52</v>
      </c>
      <c r="B49" s="35"/>
      <c r="C49" s="36"/>
      <c r="D49" s="62"/>
      <c r="E49" s="62"/>
      <c r="F49" s="62"/>
      <c r="G49" s="407" t="s">
        <v>53</v>
      </c>
      <c r="H49" s="408"/>
      <c r="I49" s="378"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39" t="s">
        <v>54</v>
      </c>
      <c r="B50" s="40"/>
      <c r="C50" s="63"/>
      <c r="D50" s="43"/>
      <c r="E50" s="43"/>
      <c r="F50" s="43"/>
      <c r="G50" s="45" t="s">
        <v>26</v>
      </c>
      <c r="H50" s="46"/>
      <c r="I50" s="4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">
      <c r="A51" s="27" t="s">
        <v>55</v>
      </c>
      <c r="B51" s="28"/>
      <c r="C51" s="29"/>
      <c r="D51" s="51">
        <f>SUM(D47:D49)</f>
        <v>0</v>
      </c>
      <c r="E51" s="51">
        <f>SUM(E47:E49)</f>
        <v>0</v>
      </c>
      <c r="F51" s="51">
        <f>SUM(F47:F49)</f>
        <v>0</v>
      </c>
      <c r="G51" s="49">
        <f>D51+E51+F51</f>
        <v>0</v>
      </c>
      <c r="H51" s="50"/>
      <c r="I51" s="37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0.35" customHeight="1" x14ac:dyDescent="0.2">
      <c r="A52" s="64"/>
      <c r="B52" s="65"/>
      <c r="C52" s="66"/>
      <c r="D52" s="64"/>
      <c r="E52" s="65"/>
      <c r="F52" s="66"/>
      <c r="G52" s="45" t="s">
        <v>56</v>
      </c>
      <c r="H52" s="67"/>
      <c r="I52" s="2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3.5" thickBot="1" x14ac:dyDescent="0.25">
      <c r="A53" s="27" t="s">
        <v>57</v>
      </c>
      <c r="B53" s="28"/>
      <c r="C53" s="29"/>
      <c r="D53" s="31"/>
      <c r="E53" s="68"/>
      <c r="F53" s="29"/>
      <c r="G53" s="49">
        <f>G51+G46+G41+G24+G14</f>
        <v>3266200</v>
      </c>
      <c r="H53" s="50"/>
      <c r="I53" s="37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">
      <c r="A54" s="1" t="s">
        <v>341</v>
      </c>
      <c r="B54" s="40"/>
      <c r="C54" s="54"/>
      <c r="D54" s="54"/>
      <c r="E54" s="54"/>
      <c r="F54" s="54"/>
      <c r="G54" s="341"/>
      <c r="H54" s="341"/>
      <c r="I54" s="34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">
      <c r="A55" s="1" t="s">
        <v>338</v>
      </c>
      <c r="B55" s="40"/>
      <c r="C55" s="54"/>
      <c r="D55" s="54"/>
      <c r="E55" s="54"/>
      <c r="F55" s="54"/>
      <c r="G55" s="341"/>
      <c r="H55" s="341"/>
      <c r="I55" s="34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">
      <c r="A56" s="69" t="s">
        <v>373</v>
      </c>
      <c r="B56" s="69"/>
      <c r="C56" s="1"/>
      <c r="D56" s="1"/>
      <c r="E56" s="1"/>
      <c r="F56" s="1"/>
      <c r="G56" s="1"/>
      <c r="H56" s="1"/>
      <c r="I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24" x14ac:dyDescent="0.2">
      <c r="C61" s="1"/>
      <c r="D61" s="1"/>
      <c r="E61" s="1"/>
      <c r="F61" s="1"/>
      <c r="G61" s="1"/>
      <c r="H61" s="1"/>
      <c r="I61" s="1"/>
    </row>
    <row r="122" spans="1:24" ht="12.75" customHeight="1" x14ac:dyDescent="0.2">
      <c r="A122" s="70"/>
      <c r="B122" s="70"/>
      <c r="C122" s="11"/>
      <c r="D122" s="54"/>
      <c r="E122" s="54"/>
      <c r="F122" s="54"/>
      <c r="G122" s="71"/>
      <c r="H122" s="71"/>
      <c r="I122" s="7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79" spans="1:31" x14ac:dyDescent="0.2">
      <c r="A179" s="3"/>
      <c r="B179" s="3"/>
      <c r="C179" s="3"/>
      <c r="D179" s="3"/>
      <c r="E179" s="3"/>
      <c r="F179" s="3"/>
      <c r="G179" s="3"/>
      <c r="H179" s="72"/>
      <c r="I179" s="72"/>
      <c r="J179" s="72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3"/>
      <c r="AB179" s="3"/>
      <c r="AC179" s="3"/>
      <c r="AD179" s="3"/>
      <c r="AE179" s="3"/>
    </row>
    <row r="180" spans="1:31" x14ac:dyDescent="0.2">
      <c r="A180" s="3"/>
      <c r="B180" s="3"/>
      <c r="C180" s="3"/>
      <c r="D180" s="3"/>
      <c r="E180" s="3"/>
      <c r="F180" s="3"/>
      <c r="G180" s="3"/>
      <c r="H180" s="3"/>
      <c r="I180" s="72"/>
      <c r="J180" s="3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3"/>
      <c r="AB180" s="3"/>
      <c r="AC180" s="3"/>
      <c r="AD180" s="3"/>
      <c r="AE180" s="3"/>
    </row>
    <row r="181" spans="1:31" x14ac:dyDescent="0.2">
      <c r="A181" s="3"/>
      <c r="B181" s="3"/>
      <c r="C181" s="3"/>
      <c r="D181" s="3"/>
      <c r="E181" s="3"/>
      <c r="F181" s="3"/>
      <c r="G181" s="3"/>
      <c r="H181" s="72"/>
      <c r="I181" s="3"/>
      <c r="J181" s="72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3"/>
      <c r="AB181" s="3"/>
      <c r="AC181" s="3"/>
      <c r="AD181" s="3"/>
      <c r="AE181" s="3"/>
    </row>
    <row r="182" spans="1:31" x14ac:dyDescent="0.2">
      <c r="A182" s="3"/>
      <c r="B182" s="3"/>
      <c r="C182" s="3"/>
      <c r="D182" s="3"/>
      <c r="E182" s="3"/>
      <c r="F182" s="3"/>
      <c r="G182" s="3"/>
      <c r="H182" s="72"/>
      <c r="I182" s="3"/>
      <c r="J182" s="72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3"/>
      <c r="AB182" s="3"/>
      <c r="AC182" s="3"/>
      <c r="AD182" s="3"/>
      <c r="AE182" s="3"/>
    </row>
    <row r="183" spans="1:31" x14ac:dyDescent="0.2">
      <c r="A183" s="3"/>
      <c r="B183" s="3"/>
      <c r="C183" s="3"/>
      <c r="D183" s="3"/>
      <c r="E183" s="3"/>
      <c r="F183" s="3"/>
      <c r="G183" s="3"/>
      <c r="H183" s="72"/>
      <c r="I183" s="3"/>
      <c r="J183" s="72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3"/>
      <c r="AB183" s="3"/>
      <c r="AC183" s="3"/>
      <c r="AD183" s="3"/>
      <c r="AE183" s="3"/>
    </row>
    <row r="184" spans="1:31" x14ac:dyDescent="0.2">
      <c r="A184" s="3"/>
      <c r="B184" s="3"/>
      <c r="C184" s="3"/>
      <c r="D184" s="3"/>
      <c r="E184" s="3"/>
      <c r="F184" s="3"/>
      <c r="G184" s="3"/>
      <c r="H184" s="72"/>
      <c r="I184" s="3"/>
      <c r="J184" s="72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3"/>
      <c r="AB184" s="3"/>
      <c r="AC184" s="3"/>
      <c r="AD184" s="3"/>
      <c r="AE184" s="3"/>
    </row>
    <row r="185" spans="1:31" x14ac:dyDescent="0.2">
      <c r="A185" s="3"/>
      <c r="B185" s="3"/>
      <c r="C185" s="3"/>
      <c r="D185" s="3"/>
      <c r="E185" s="3"/>
      <c r="F185" s="3"/>
      <c r="G185" s="3"/>
      <c r="H185" s="72"/>
      <c r="I185" s="3"/>
      <c r="J185" s="72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3"/>
      <c r="AB185" s="3"/>
      <c r="AC185" s="3"/>
      <c r="AD185" s="3"/>
      <c r="AE185" s="3"/>
    </row>
    <row r="186" spans="1:31" x14ac:dyDescent="0.2">
      <c r="A186" s="3"/>
      <c r="B186" s="3"/>
      <c r="C186" s="3"/>
      <c r="D186" s="3"/>
      <c r="E186" s="3"/>
      <c r="F186" s="3"/>
      <c r="G186" s="3"/>
      <c r="H186" s="72"/>
      <c r="I186" s="3"/>
      <c r="J186" s="72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3"/>
      <c r="AB186" s="3"/>
      <c r="AC186" s="3"/>
      <c r="AD186" s="3"/>
      <c r="AE186" s="3"/>
    </row>
    <row r="187" spans="1:31" x14ac:dyDescent="0.2">
      <c r="A187" s="3"/>
      <c r="B187" s="3"/>
      <c r="C187" s="3"/>
      <c r="D187" s="3"/>
      <c r="E187" s="3"/>
      <c r="F187" s="3"/>
      <c r="G187" s="3"/>
      <c r="H187" s="72"/>
      <c r="I187" s="3"/>
      <c r="J187" s="72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3"/>
      <c r="AB187" s="3"/>
      <c r="AC187" s="3"/>
      <c r="AD187" s="3"/>
      <c r="AE187" s="3"/>
    </row>
    <row r="188" spans="1:31" x14ac:dyDescent="0.2">
      <c r="A188" s="3"/>
      <c r="B188" s="3"/>
      <c r="C188" s="3"/>
      <c r="D188" s="3"/>
      <c r="E188" s="3"/>
      <c r="F188" s="3"/>
      <c r="G188" s="3"/>
      <c r="H188" s="72"/>
      <c r="I188" s="3"/>
      <c r="J188" s="72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3"/>
      <c r="AB188" s="3"/>
      <c r="AC188" s="3"/>
      <c r="AD188" s="3"/>
      <c r="AE188" s="3"/>
    </row>
    <row r="189" spans="1:31" x14ac:dyDescent="0.2">
      <c r="A189" s="3"/>
      <c r="B189" s="3"/>
      <c r="C189" s="3"/>
      <c r="D189" s="3"/>
      <c r="E189" s="3"/>
      <c r="F189" s="3"/>
      <c r="G189" s="3"/>
      <c r="H189" s="72"/>
      <c r="I189" s="3"/>
      <c r="J189" s="72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3"/>
      <c r="AB189" s="3"/>
      <c r="AC189" s="3"/>
      <c r="AD189" s="3"/>
      <c r="AE189" s="3"/>
    </row>
    <row r="190" spans="1:31" x14ac:dyDescent="0.2">
      <c r="A190" s="72"/>
      <c r="B190" s="72"/>
      <c r="C190" s="72"/>
      <c r="D190" s="72"/>
      <c r="E190" s="72"/>
      <c r="F190" s="72"/>
      <c r="G190" s="72"/>
      <c r="H190" s="73"/>
      <c r="I190" s="72"/>
      <c r="J190" s="74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3"/>
      <c r="AB190" s="3"/>
      <c r="AC190" s="3"/>
      <c r="AD190" s="3"/>
      <c r="AE190" s="3"/>
    </row>
    <row r="191" spans="1:31" x14ac:dyDescent="0.2">
      <c r="A191" s="72"/>
      <c r="B191" s="72"/>
      <c r="C191" s="72"/>
      <c r="D191" s="72"/>
      <c r="E191" s="72"/>
      <c r="F191" s="72"/>
      <c r="G191" s="72"/>
      <c r="H191" s="72"/>
      <c r="I191" s="74"/>
      <c r="J191" s="72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3"/>
      <c r="AB191" s="3"/>
      <c r="AC191" s="3"/>
      <c r="AD191" s="3"/>
      <c r="AE191" s="3"/>
    </row>
    <row r="192" spans="1:31" x14ac:dyDescent="0.2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3"/>
      <c r="AB192" s="3"/>
      <c r="AC192" s="3"/>
      <c r="AD192" s="3"/>
      <c r="AE192" s="3"/>
    </row>
    <row r="193" spans="1:31" x14ac:dyDescent="0.2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3"/>
      <c r="AB193" s="3"/>
      <c r="AC193" s="3"/>
      <c r="AD193" s="3"/>
      <c r="AE193" s="3"/>
    </row>
    <row r="194" spans="1:31" x14ac:dyDescent="0.2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3"/>
      <c r="AB194" s="3"/>
      <c r="AC194" s="3"/>
      <c r="AD194" s="3"/>
      <c r="AE194" s="3"/>
    </row>
    <row r="195" spans="1:31" x14ac:dyDescent="0.2">
      <c r="A195" s="72"/>
      <c r="B195" s="72"/>
      <c r="C195" s="72"/>
      <c r="D195" s="72"/>
      <c r="E195" s="72"/>
      <c r="F195" s="72"/>
      <c r="G195" s="72"/>
      <c r="H195" s="3"/>
      <c r="I195" s="72"/>
      <c r="J195" s="3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3"/>
      <c r="AB195" s="3"/>
      <c r="AC195" s="3"/>
      <c r="AD195" s="3"/>
      <c r="AE195" s="3"/>
    </row>
    <row r="196" spans="1:31" ht="18.75" x14ac:dyDescent="0.3">
      <c r="A196" s="75"/>
      <c r="B196" s="75"/>
      <c r="C196" s="3"/>
      <c r="D196" s="3"/>
      <c r="E196" s="3"/>
      <c r="F196" s="3"/>
      <c r="G196" s="3"/>
      <c r="H196" s="3"/>
      <c r="I196" s="3"/>
      <c r="J196" s="3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3"/>
      <c r="AB196" s="3"/>
      <c r="AC196" s="3"/>
      <c r="AD196" s="3"/>
      <c r="AE196" s="3"/>
    </row>
    <row r="197" spans="1:3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3"/>
      <c r="AB197" s="3"/>
      <c r="AC197" s="3"/>
      <c r="AD197" s="3"/>
      <c r="AE197" s="3"/>
    </row>
    <row r="198" spans="1:3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3"/>
      <c r="AB198" s="3"/>
      <c r="AC198" s="3"/>
      <c r="AD198" s="3"/>
      <c r="AE198" s="3"/>
    </row>
    <row r="199" spans="1:3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76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3"/>
      <c r="AB199" s="3"/>
      <c r="AC199" s="3"/>
      <c r="AD199" s="3"/>
      <c r="AE199" s="3"/>
    </row>
    <row r="200" spans="1:31" x14ac:dyDescent="0.2">
      <c r="A200" s="3"/>
      <c r="B200" s="3"/>
      <c r="C200" s="3"/>
      <c r="D200" s="3"/>
      <c r="E200" s="3"/>
      <c r="F200" s="3"/>
      <c r="G200" s="3"/>
      <c r="H200" s="3"/>
      <c r="I200" s="76"/>
      <c r="J200" s="76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3"/>
      <c r="AB200" s="3"/>
      <c r="AC200" s="3"/>
      <c r="AD200" s="3"/>
      <c r="AE200" s="3"/>
    </row>
    <row r="201" spans="1:31" x14ac:dyDescent="0.2">
      <c r="A201" s="3"/>
      <c r="B201" s="3"/>
      <c r="C201" s="3"/>
      <c r="D201" s="3"/>
      <c r="E201" s="3"/>
      <c r="F201" s="3"/>
      <c r="G201" s="3"/>
      <c r="H201" s="3"/>
      <c r="I201" s="76"/>
      <c r="J201" s="3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3"/>
      <c r="AB201" s="3"/>
      <c r="AC201" s="3"/>
      <c r="AD201" s="3"/>
      <c r="AE201" s="3"/>
    </row>
    <row r="202" spans="1:31" x14ac:dyDescent="0.2">
      <c r="A202" s="72"/>
      <c r="B202" s="72"/>
      <c r="C202" s="72"/>
      <c r="D202" s="3"/>
      <c r="E202" s="3"/>
      <c r="F202" s="3"/>
      <c r="G202" s="3"/>
      <c r="H202" s="3"/>
      <c r="I202" s="3"/>
      <c r="J202" s="3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3"/>
      <c r="AB202" s="3"/>
      <c r="AC202" s="3"/>
      <c r="AD202" s="3"/>
      <c r="AE202" s="3"/>
    </row>
    <row r="203" spans="1:31" x14ac:dyDescent="0.2">
      <c r="A203" s="72"/>
      <c r="B203" s="72"/>
      <c r="C203" s="72"/>
      <c r="D203" s="3"/>
      <c r="E203" s="3"/>
      <c r="F203" s="3"/>
      <c r="G203" s="3"/>
      <c r="H203" s="3"/>
      <c r="I203" s="3"/>
      <c r="J203" s="3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3"/>
      <c r="AB203" s="3"/>
      <c r="AC203" s="3"/>
      <c r="AD203" s="3"/>
      <c r="AE203" s="3"/>
    </row>
    <row r="204" spans="1:31" x14ac:dyDescent="0.2">
      <c r="A204" s="72"/>
      <c r="B204" s="72"/>
      <c r="C204" s="72"/>
      <c r="D204" s="3"/>
      <c r="E204" s="3"/>
      <c r="F204" s="3"/>
      <c r="G204" s="3"/>
      <c r="H204" s="72"/>
      <c r="I204" s="3"/>
      <c r="J204" s="72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3"/>
      <c r="AB204" s="3"/>
      <c r="AC204" s="3"/>
      <c r="AD204" s="3"/>
      <c r="AE204" s="3"/>
    </row>
    <row r="205" spans="1:31" x14ac:dyDescent="0.2">
      <c r="A205" s="72"/>
      <c r="B205" s="72"/>
      <c r="C205" s="77"/>
      <c r="D205" s="72"/>
      <c r="E205" s="72"/>
      <c r="F205" s="72"/>
      <c r="G205" s="72"/>
      <c r="H205" s="72"/>
      <c r="I205" s="72"/>
      <c r="J205" s="72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3"/>
      <c r="AB205" s="3"/>
      <c r="AC205" s="3"/>
      <c r="AD205" s="3"/>
      <c r="AE205" s="3"/>
    </row>
    <row r="206" spans="1:31" x14ac:dyDescent="0.2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3"/>
      <c r="AB206" s="3"/>
      <c r="AC206" s="3"/>
      <c r="AD206" s="3"/>
      <c r="AE206" s="3"/>
    </row>
    <row r="207" spans="1:31" x14ac:dyDescent="0.2">
      <c r="A207" s="72"/>
      <c r="B207" s="72"/>
      <c r="C207" s="72"/>
      <c r="D207" s="72"/>
      <c r="E207" s="72"/>
      <c r="F207" s="72"/>
      <c r="G207" s="72"/>
      <c r="H207" s="3"/>
      <c r="I207" s="72"/>
      <c r="J207" s="3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3"/>
      <c r="AB207" s="3"/>
      <c r="AC207" s="3"/>
      <c r="AD207" s="3"/>
      <c r="AE207" s="3"/>
    </row>
    <row r="208" spans="1:31" ht="20.25" x14ac:dyDescent="0.3">
      <c r="A208" s="78"/>
      <c r="B208" s="78"/>
      <c r="C208" s="79"/>
      <c r="D208" s="79"/>
      <c r="E208" s="79"/>
      <c r="F208" s="3"/>
      <c r="G208" s="3"/>
      <c r="H208" s="72"/>
      <c r="I208" s="3"/>
      <c r="J208" s="72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3"/>
      <c r="AB208" s="3"/>
      <c r="AC208" s="3"/>
      <c r="AD208" s="3"/>
      <c r="AE208" s="3"/>
    </row>
    <row r="209" spans="1:31" x14ac:dyDescent="0.2">
      <c r="A209" s="72"/>
      <c r="B209" s="72"/>
      <c r="C209" s="72"/>
      <c r="D209" s="72"/>
      <c r="E209" s="72"/>
      <c r="F209" s="72"/>
      <c r="G209" s="72"/>
      <c r="I209" s="72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3"/>
      <c r="AB209" s="3"/>
      <c r="AC209" s="3"/>
      <c r="AD209" s="3"/>
      <c r="AE209" s="3"/>
    </row>
    <row r="210" spans="1:31" x14ac:dyDescent="0.2">
      <c r="A210" s="72"/>
      <c r="B210" s="72"/>
      <c r="C210" s="80"/>
      <c r="D210" s="80"/>
      <c r="E210" s="80"/>
      <c r="F210" s="80"/>
      <c r="G210" s="80"/>
      <c r="H210" s="8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3"/>
      <c r="AB210" s="3"/>
      <c r="AC210" s="3"/>
      <c r="AD210" s="3"/>
      <c r="AE210" s="3"/>
    </row>
    <row r="211" spans="1:31" x14ac:dyDescent="0.2">
      <c r="A211" s="72"/>
      <c r="B211" s="72"/>
      <c r="C211" s="3"/>
      <c r="D211" s="3"/>
      <c r="E211" s="3"/>
      <c r="F211" s="3"/>
      <c r="G211" s="3"/>
      <c r="H211" s="3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3"/>
      <c r="AB211" s="3"/>
      <c r="AC211" s="3"/>
      <c r="AD211" s="3"/>
      <c r="AE211" s="3"/>
    </row>
    <row r="212" spans="1:31" x14ac:dyDescent="0.2">
      <c r="A212" s="72"/>
      <c r="B212" s="72"/>
      <c r="C212" s="3"/>
      <c r="D212" s="3"/>
      <c r="E212" s="3"/>
      <c r="F212" s="3"/>
      <c r="G212" s="3"/>
      <c r="H212" s="3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3"/>
      <c r="AB212" s="3"/>
      <c r="AC212" s="3"/>
      <c r="AD212" s="3"/>
      <c r="AE212" s="3"/>
    </row>
    <row r="213" spans="1:31" x14ac:dyDescent="0.2">
      <c r="A213" s="72"/>
      <c r="B213" s="72"/>
      <c r="C213" s="3"/>
      <c r="D213" s="3"/>
      <c r="E213" s="3"/>
      <c r="F213" s="3"/>
      <c r="G213" s="3"/>
      <c r="H213" s="3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3"/>
      <c r="AB213" s="3"/>
      <c r="AC213" s="3"/>
      <c r="AD213" s="3"/>
      <c r="AE213" s="3"/>
    </row>
    <row r="214" spans="1:31" x14ac:dyDescent="0.2">
      <c r="A214" s="72"/>
      <c r="B214" s="72"/>
      <c r="C214" s="3"/>
      <c r="D214" s="82"/>
      <c r="E214" s="82"/>
      <c r="F214" s="82"/>
      <c r="G214" s="82"/>
      <c r="H214" s="82"/>
      <c r="I214" s="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3"/>
      <c r="AB214" s="3"/>
      <c r="AC214" s="3"/>
      <c r="AD214" s="3"/>
      <c r="AE214" s="3"/>
    </row>
    <row r="215" spans="1:31" x14ac:dyDescent="0.2">
      <c r="A215" s="3"/>
      <c r="B215" s="3"/>
      <c r="C215" s="3"/>
      <c r="D215" s="82"/>
      <c r="E215" s="82"/>
      <c r="F215" s="82"/>
      <c r="G215" s="82"/>
      <c r="H215" s="82"/>
      <c r="I215" s="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3"/>
      <c r="AB215" s="3"/>
      <c r="AC215" s="3"/>
      <c r="AD215" s="3"/>
      <c r="AE215" s="3"/>
    </row>
    <row r="216" spans="1:31" x14ac:dyDescent="0.2">
      <c r="A216" s="3"/>
      <c r="B216" s="3"/>
      <c r="C216" s="3"/>
      <c r="D216" s="82"/>
      <c r="E216" s="82"/>
      <c r="F216" s="82"/>
      <c r="G216" s="82"/>
      <c r="H216" s="82"/>
      <c r="I216" s="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3"/>
      <c r="AB216" s="3"/>
      <c r="AC216" s="3"/>
      <c r="AD216" s="3"/>
      <c r="AE216" s="3"/>
    </row>
    <row r="217" spans="1:31" x14ac:dyDescent="0.2">
      <c r="A217" s="3"/>
      <c r="B217" s="3"/>
      <c r="C217" s="3"/>
      <c r="D217" s="82"/>
      <c r="E217" s="82"/>
      <c r="F217" s="82"/>
      <c r="G217" s="82"/>
      <c r="H217" s="82"/>
      <c r="I217" s="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3"/>
      <c r="AB217" s="3"/>
      <c r="AC217" s="3"/>
      <c r="AD217" s="3"/>
      <c r="AE217" s="3"/>
    </row>
    <row r="218" spans="1:31" x14ac:dyDescent="0.2">
      <c r="A218" s="3"/>
      <c r="B218" s="3"/>
      <c r="C218" s="3"/>
      <c r="D218" s="82"/>
      <c r="E218" s="82"/>
      <c r="F218" s="82"/>
      <c r="G218" s="82"/>
      <c r="H218" s="82"/>
      <c r="I218" s="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3"/>
      <c r="AB218" s="3"/>
      <c r="AC218" s="3"/>
      <c r="AD218" s="3"/>
      <c r="AE218" s="3"/>
    </row>
    <row r="219" spans="1:31" x14ac:dyDescent="0.2">
      <c r="A219" s="3"/>
      <c r="B219" s="3"/>
      <c r="C219" s="3"/>
      <c r="D219" s="82"/>
      <c r="E219" s="82"/>
      <c r="F219" s="82"/>
      <c r="G219" s="82"/>
      <c r="H219" s="1"/>
      <c r="I219" s="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3"/>
      <c r="AB219" s="3"/>
      <c r="AC219" s="3"/>
      <c r="AD219" s="3"/>
      <c r="AE219" s="3"/>
    </row>
    <row r="220" spans="1:31" x14ac:dyDescent="0.2">
      <c r="A220" s="3"/>
      <c r="B220" s="3"/>
      <c r="C220" s="3"/>
      <c r="D220" s="82"/>
      <c r="E220" s="82"/>
      <c r="F220" s="82"/>
      <c r="G220" s="82"/>
      <c r="H220" s="82"/>
      <c r="I220" s="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3"/>
      <c r="AB220" s="3"/>
      <c r="AC220" s="3"/>
      <c r="AD220" s="3"/>
      <c r="AE220" s="3"/>
    </row>
    <row r="221" spans="1:31" x14ac:dyDescent="0.2">
      <c r="A221" s="3"/>
      <c r="B221" s="3"/>
      <c r="C221" s="3"/>
      <c r="D221" s="82"/>
      <c r="E221" s="82"/>
      <c r="F221" s="82"/>
      <c r="G221" s="82"/>
      <c r="H221" s="82"/>
      <c r="I221" s="1"/>
      <c r="J221" s="3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3"/>
      <c r="AB221" s="3"/>
      <c r="AC221" s="3"/>
      <c r="AD221" s="3"/>
      <c r="AE221" s="3"/>
    </row>
    <row r="222" spans="1:31" x14ac:dyDescent="0.2">
      <c r="A222" s="83"/>
      <c r="B222" s="83"/>
      <c r="C222" s="72"/>
      <c r="D222" s="82"/>
      <c r="E222" s="84"/>
      <c r="F222" s="82"/>
      <c r="G222" s="82"/>
      <c r="H222" s="82"/>
      <c r="I222" s="82"/>
      <c r="J222" s="3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3"/>
      <c r="AB222" s="3"/>
      <c r="AC222" s="3"/>
      <c r="AD222" s="3"/>
      <c r="AE222" s="3"/>
    </row>
    <row r="223" spans="1:31" x14ac:dyDescent="0.2">
      <c r="A223" s="83"/>
      <c r="B223" s="83"/>
      <c r="C223" s="72"/>
      <c r="D223" s="3"/>
      <c r="E223" s="85"/>
      <c r="F223" s="72"/>
      <c r="G223" s="3"/>
      <c r="H223" s="3"/>
      <c r="I223" s="3"/>
      <c r="J223" s="3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3"/>
      <c r="AB223" s="3"/>
      <c r="AC223" s="3"/>
      <c r="AD223" s="3"/>
      <c r="AE223" s="3"/>
    </row>
    <row r="224" spans="1:3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3"/>
      <c r="AB224" s="3"/>
      <c r="AC224" s="3"/>
      <c r="AD224" s="3"/>
      <c r="AE224" s="3"/>
    </row>
    <row r="225" spans="1:3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3"/>
      <c r="AB225" s="3"/>
      <c r="AC225" s="3"/>
      <c r="AD225" s="3"/>
      <c r="AE225" s="3"/>
    </row>
    <row r="226" spans="1:3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3"/>
      <c r="AB226" s="3"/>
      <c r="AC226" s="3"/>
      <c r="AD226" s="3"/>
      <c r="AE226" s="3"/>
    </row>
    <row r="227" spans="1:31" x14ac:dyDescent="0.2">
      <c r="A227" s="3"/>
      <c r="B227" s="3"/>
      <c r="C227" s="3"/>
      <c r="D227" s="3"/>
      <c r="E227" s="3"/>
      <c r="F227" s="3"/>
      <c r="G227" s="3"/>
      <c r="H227" s="72"/>
      <c r="I227" s="3"/>
      <c r="J227" s="72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3"/>
      <c r="AB227" s="3"/>
      <c r="AC227" s="3"/>
      <c r="AD227" s="3"/>
      <c r="AE227" s="3"/>
    </row>
    <row r="228" spans="1:31" x14ac:dyDescent="0.2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3"/>
      <c r="AB228" s="3"/>
      <c r="AC228" s="3"/>
      <c r="AD228" s="3"/>
      <c r="AE228" s="3"/>
    </row>
    <row r="229" spans="1:31" x14ac:dyDescent="0.2">
      <c r="A229" s="71"/>
      <c r="B229" s="71"/>
      <c r="C229" s="71"/>
      <c r="D229" s="71"/>
      <c r="E229" s="71"/>
      <c r="F229" s="71"/>
      <c r="G229" s="71"/>
      <c r="H229" s="71"/>
      <c r="I229" s="71"/>
      <c r="J229" s="71"/>
    </row>
    <row r="230" spans="1:31" x14ac:dyDescent="0.2">
      <c r="J230" s="71"/>
    </row>
    <row r="231" spans="1:31" x14ac:dyDescent="0.2">
      <c r="J231" s="71"/>
    </row>
    <row r="232" spans="1:31" x14ac:dyDescent="0.2">
      <c r="A232" s="71"/>
      <c r="B232" s="71"/>
      <c r="C232" s="71"/>
      <c r="D232" s="71"/>
      <c r="E232" s="71"/>
      <c r="F232" s="71"/>
      <c r="G232" s="71"/>
      <c r="H232" s="71"/>
      <c r="I232" s="71"/>
      <c r="J232" s="71"/>
    </row>
  </sheetData>
  <sheetProtection password="C74E" sheet="1" objects="1" scenarios="1"/>
  <mergeCells count="41">
    <mergeCell ref="G27:H27"/>
    <mergeCell ref="G28:H28"/>
    <mergeCell ref="A4:C4"/>
    <mergeCell ref="D4:E4"/>
    <mergeCell ref="G4:H4"/>
    <mergeCell ref="A5:C5"/>
    <mergeCell ref="D5:E5"/>
    <mergeCell ref="G5:H5"/>
    <mergeCell ref="G10:H10"/>
    <mergeCell ref="G11:H11"/>
    <mergeCell ref="G12:H12"/>
    <mergeCell ref="A7:C7"/>
    <mergeCell ref="D7:F7"/>
    <mergeCell ref="G7:I7"/>
    <mergeCell ref="G20:H20"/>
    <mergeCell ref="G21:H21"/>
    <mergeCell ref="G22:H22"/>
    <mergeCell ref="G25:H25"/>
    <mergeCell ref="G26:H26"/>
    <mergeCell ref="G15:H15"/>
    <mergeCell ref="G16:H16"/>
    <mergeCell ref="G17:H17"/>
    <mergeCell ref="G18:H18"/>
    <mergeCell ref="G19:H19"/>
    <mergeCell ref="G49:H49"/>
    <mergeCell ref="G38:H38"/>
    <mergeCell ref="G39:H39"/>
    <mergeCell ref="G43:H43"/>
    <mergeCell ref="G44:H44"/>
    <mergeCell ref="G48:H48"/>
    <mergeCell ref="G35:H35"/>
    <mergeCell ref="G36:H36"/>
    <mergeCell ref="G29:H29"/>
    <mergeCell ref="G37:H37"/>
    <mergeCell ref="G47:H47"/>
    <mergeCell ref="G42:H42"/>
    <mergeCell ref="G30:H30"/>
    <mergeCell ref="G31:H31"/>
    <mergeCell ref="G32:H32"/>
    <mergeCell ref="G33:H33"/>
    <mergeCell ref="G34:H34"/>
  </mergeCells>
  <pageMargins left="0.74791666666666667" right="0.2902777777777778" top="0.22013888888888888" bottom="0.40972222222222221" header="0.51180555555555551" footer="0.20972222222222223"/>
  <pageSetup paperSize="9" scale="99" firstPageNumber="0" orientation="portrait" verticalDpi="300" r:id="rId1"/>
  <headerFooter alignWithMargins="0">
    <oddFooter>&amp;CSida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52"/>
  <sheetViews>
    <sheetView showGridLines="0" showZeros="0" topLeftCell="A23" zoomScale="120" zoomScaleNormal="120" workbookViewId="0">
      <selection activeCell="A16" sqref="A16:G16"/>
    </sheetView>
  </sheetViews>
  <sheetFormatPr defaultRowHeight="12.75" x14ac:dyDescent="0.2"/>
  <cols>
    <col min="1" max="1" width="10.140625" customWidth="1"/>
    <col min="2" max="4" width="9.140625" customWidth="1"/>
    <col min="5" max="5" width="16.42578125" customWidth="1"/>
    <col min="6" max="6" width="10.140625" customWidth="1"/>
    <col min="7" max="7" width="10.5703125" customWidth="1"/>
    <col min="8" max="8" width="13.85546875" customWidth="1"/>
  </cols>
  <sheetData>
    <row r="1" spans="1:23" ht="15.75" x14ac:dyDescent="0.25">
      <c r="A1" s="70"/>
      <c r="B1" s="11"/>
      <c r="C1" s="54"/>
      <c r="E1" s="4"/>
      <c r="F1" s="71"/>
      <c r="G1" s="71"/>
      <c r="H1" s="7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x14ac:dyDescent="0.25">
      <c r="A2" s="70"/>
      <c r="B2" s="11"/>
      <c r="C2" s="54"/>
      <c r="E2" s="4"/>
      <c r="F2" s="71"/>
      <c r="G2" s="71"/>
      <c r="H2" s="7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.75" x14ac:dyDescent="0.25">
      <c r="A3" s="70"/>
      <c r="B3" s="11"/>
      <c r="C3" s="54"/>
      <c r="D3" s="54"/>
      <c r="E3" s="4" t="s">
        <v>58</v>
      </c>
      <c r="F3" s="71"/>
      <c r="G3" s="71"/>
      <c r="H3" s="7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75" x14ac:dyDescent="0.25">
      <c r="A4" s="70"/>
      <c r="B4" s="11"/>
      <c r="C4" s="54"/>
      <c r="D4" s="54"/>
      <c r="E4" s="4"/>
      <c r="F4" s="71"/>
      <c r="G4" s="71"/>
      <c r="H4" s="7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s="11" customFormat="1" ht="11.25" customHeight="1" x14ac:dyDescent="0.2">
      <c r="A5" s="86" t="s">
        <v>1</v>
      </c>
      <c r="B5" s="87"/>
      <c r="C5" s="86" t="s">
        <v>2</v>
      </c>
      <c r="D5" s="88"/>
      <c r="E5" s="89"/>
      <c r="F5" s="90" t="s">
        <v>4</v>
      </c>
      <c r="G5" s="91"/>
      <c r="H5" s="92" t="s">
        <v>5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">
      <c r="A6" s="93"/>
      <c r="B6" s="94"/>
      <c r="C6" s="95" t="str">
        <f>'Kalkyl-Total'!D4</f>
        <v>Havstenshult</v>
      </c>
      <c r="E6" s="96"/>
      <c r="F6" s="95"/>
      <c r="G6" s="97"/>
      <c r="H6" s="9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99" t="str">
        <f>'Kalkyl-Total'!A4</f>
        <v xml:space="preserve">Erica Bernardin           </v>
      </c>
      <c r="B7" s="100"/>
      <c r="C7" s="101">
        <f>'Kalkyl-Total'!D5</f>
        <v>0</v>
      </c>
      <c r="D7" s="102"/>
      <c r="E7" s="100"/>
      <c r="F7" s="101" t="str">
        <f>'Kalkyl-Total'!G4</f>
        <v>Tomt nr. 15</v>
      </c>
      <c r="G7" s="103"/>
      <c r="H7" s="104">
        <f>'Kalkyl-Total'!I4</f>
        <v>45931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11" customFormat="1" ht="10.5" customHeight="1" x14ac:dyDescent="0.2">
      <c r="A8" s="90" t="s">
        <v>9</v>
      </c>
      <c r="B8" s="105"/>
      <c r="C8" s="90" t="s">
        <v>10</v>
      </c>
      <c r="D8" s="106"/>
      <c r="E8" s="105"/>
      <c r="F8" s="86" t="s">
        <v>11</v>
      </c>
      <c r="G8" s="87"/>
      <c r="H8" s="107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2">
      <c r="A9" s="101" t="str">
        <f>'Kalkyl-Total'!A7</f>
        <v>Villa Kalmar</v>
      </c>
      <c r="B9" s="100"/>
      <c r="C9" s="101">
        <f>'Kalkyl-Total'!D7</f>
        <v>0</v>
      </c>
      <c r="D9" s="102"/>
      <c r="E9" s="100"/>
      <c r="F9" s="108" t="str">
        <f>'Kalkyl-Total'!G7</f>
        <v>Mullsjö</v>
      </c>
      <c r="G9" s="103"/>
      <c r="H9" s="10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customHeight="1" x14ac:dyDescent="0.2">
      <c r="A10" s="110"/>
      <c r="B10" s="111" t="s">
        <v>59</v>
      </c>
      <c r="C10" s="35"/>
      <c r="D10" s="35"/>
      <c r="E10" s="35"/>
      <c r="F10" s="112"/>
      <c r="G10" s="113"/>
      <c r="H10" s="332" t="s">
        <v>255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16" customFormat="1" ht="15.75" x14ac:dyDescent="0.25">
      <c r="A11" s="426" t="s">
        <v>388</v>
      </c>
      <c r="B11" s="426"/>
      <c r="C11" s="426"/>
      <c r="D11" s="426"/>
      <c r="E11" s="426"/>
      <c r="F11" s="426"/>
      <c r="G11" s="426"/>
      <c r="H11" s="114">
        <v>37400</v>
      </c>
      <c r="I11" s="3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1:23" s="116" customFormat="1" ht="15.75" x14ac:dyDescent="0.25">
      <c r="A12" s="426" t="s">
        <v>389</v>
      </c>
      <c r="B12" s="426"/>
      <c r="C12" s="426"/>
      <c r="D12" s="426"/>
      <c r="E12" s="426"/>
      <c r="F12" s="426"/>
      <c r="G12" s="426"/>
      <c r="H12" s="114">
        <v>36700</v>
      </c>
      <c r="I12" s="3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spans="1:23" s="116" customFormat="1" ht="15.75" x14ac:dyDescent="0.25">
      <c r="A13" s="426" t="s">
        <v>390</v>
      </c>
      <c r="B13" s="426"/>
      <c r="C13" s="426"/>
      <c r="D13" s="426"/>
      <c r="E13" s="426"/>
      <c r="F13" s="426"/>
      <c r="G13" s="426"/>
      <c r="H13" s="114">
        <v>42400</v>
      </c>
      <c r="I13" s="3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1:23" s="116" customFormat="1" ht="15.75" x14ac:dyDescent="0.25">
      <c r="A14" s="426"/>
      <c r="B14" s="426"/>
      <c r="C14" s="426"/>
      <c r="D14" s="426"/>
      <c r="E14" s="426"/>
      <c r="F14" s="426"/>
      <c r="G14" s="426"/>
      <c r="H14" s="114"/>
      <c r="I14" s="3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23" s="116" customFormat="1" ht="15.75" x14ac:dyDescent="0.25">
      <c r="A15" s="426" t="s">
        <v>391</v>
      </c>
      <c r="B15" s="426"/>
      <c r="C15" s="426"/>
      <c r="D15" s="426"/>
      <c r="E15" s="426"/>
      <c r="F15" s="426"/>
      <c r="G15" s="426"/>
      <c r="H15" s="114">
        <v>8600</v>
      </c>
      <c r="I15" s="3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spans="1:23" s="116" customFormat="1" ht="15.75" x14ac:dyDescent="0.25">
      <c r="A16" s="426"/>
      <c r="B16" s="426"/>
      <c r="C16" s="426"/>
      <c r="D16" s="426"/>
      <c r="E16" s="426"/>
      <c r="F16" s="426"/>
      <c r="G16" s="426"/>
      <c r="H16" s="114"/>
      <c r="I16" s="3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1:23" s="116" customFormat="1" ht="15.75" x14ac:dyDescent="0.25">
      <c r="A17" s="426"/>
      <c r="B17" s="426"/>
      <c r="C17" s="426"/>
      <c r="D17" s="426"/>
      <c r="E17" s="426"/>
      <c r="F17" s="426"/>
      <c r="G17" s="426"/>
      <c r="H17" s="114"/>
      <c r="I17" s="3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1:23" s="116" customFormat="1" ht="15.75" x14ac:dyDescent="0.25">
      <c r="A18" s="426"/>
      <c r="B18" s="426"/>
      <c r="C18" s="426"/>
      <c r="D18" s="426"/>
      <c r="E18" s="426"/>
      <c r="F18" s="426"/>
      <c r="G18" s="426"/>
      <c r="H18" s="114"/>
      <c r="I18" s="3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spans="1:23" s="116" customFormat="1" ht="15.75" x14ac:dyDescent="0.25">
      <c r="A19" s="426"/>
      <c r="B19" s="426"/>
      <c r="C19" s="426"/>
      <c r="D19" s="426"/>
      <c r="E19" s="426"/>
      <c r="F19" s="426"/>
      <c r="G19" s="426"/>
      <c r="H19" s="114"/>
      <c r="I19" s="3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spans="1:23" s="116" customFormat="1" ht="15.75" x14ac:dyDescent="0.25">
      <c r="A20" s="426"/>
      <c r="B20" s="426"/>
      <c r="C20" s="426"/>
      <c r="D20" s="426"/>
      <c r="E20" s="426"/>
      <c r="F20" s="426"/>
      <c r="G20" s="426"/>
      <c r="H20" s="114"/>
      <c r="I20" s="3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spans="1:23" s="116" customFormat="1" ht="15.75" x14ac:dyDescent="0.25">
      <c r="A21" s="426"/>
      <c r="B21" s="426"/>
      <c r="C21" s="426"/>
      <c r="D21" s="426"/>
      <c r="E21" s="426"/>
      <c r="F21" s="426"/>
      <c r="G21" s="426"/>
      <c r="H21" s="114"/>
      <c r="I21" s="3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1:23" s="116" customFormat="1" ht="15.75" x14ac:dyDescent="0.25">
      <c r="A22" s="426"/>
      <c r="B22" s="426"/>
      <c r="C22" s="426"/>
      <c r="D22" s="426"/>
      <c r="E22" s="426"/>
      <c r="F22" s="426"/>
      <c r="G22" s="426"/>
      <c r="H22" s="114"/>
      <c r="I22" s="3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116" customFormat="1" ht="15.75" x14ac:dyDescent="0.25">
      <c r="A23" s="426"/>
      <c r="B23" s="426"/>
      <c r="C23" s="426"/>
      <c r="D23" s="426"/>
      <c r="E23" s="426"/>
      <c r="F23" s="426"/>
      <c r="G23" s="426"/>
      <c r="H23" s="114"/>
      <c r="I23" s="3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spans="1:23" s="116" customFormat="1" ht="15.75" x14ac:dyDescent="0.25">
      <c r="A24" s="426"/>
      <c r="B24" s="426"/>
      <c r="C24" s="426"/>
      <c r="D24" s="426"/>
      <c r="E24" s="426"/>
      <c r="F24" s="426"/>
      <c r="G24" s="426"/>
      <c r="H24" s="114"/>
      <c r="I24" s="3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s="116" customFormat="1" ht="15.75" x14ac:dyDescent="0.25">
      <c r="A25" s="426"/>
      <c r="B25" s="426"/>
      <c r="C25" s="426"/>
      <c r="D25" s="426"/>
      <c r="E25" s="426"/>
      <c r="F25" s="426"/>
      <c r="G25" s="426"/>
      <c r="H25" s="114"/>
      <c r="I25" s="3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s="116" customFormat="1" ht="15.75" x14ac:dyDescent="0.25">
      <c r="A26" s="426"/>
      <c r="B26" s="426"/>
      <c r="C26" s="426"/>
      <c r="D26" s="426"/>
      <c r="E26" s="426"/>
      <c r="F26" s="426"/>
      <c r="G26" s="426"/>
      <c r="H26" s="114"/>
      <c r="I26" s="3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s="116" customFormat="1" ht="15.75" x14ac:dyDescent="0.25">
      <c r="A27" s="426"/>
      <c r="B27" s="426"/>
      <c r="C27" s="426"/>
      <c r="D27" s="426"/>
      <c r="E27" s="426"/>
      <c r="F27" s="426"/>
      <c r="G27" s="426"/>
      <c r="H27" s="114"/>
      <c r="I27" s="3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s="116" customFormat="1" ht="15.75" x14ac:dyDescent="0.25">
      <c r="A28" s="426"/>
      <c r="B28" s="426"/>
      <c r="C28" s="426"/>
      <c r="D28" s="426"/>
      <c r="E28" s="426"/>
      <c r="F28" s="426"/>
      <c r="G28" s="426"/>
      <c r="H28" s="114"/>
      <c r="I28" s="3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spans="1:23" s="116" customFormat="1" ht="15.75" x14ac:dyDescent="0.25">
      <c r="A29" s="426"/>
      <c r="B29" s="426"/>
      <c r="C29" s="426"/>
      <c r="D29" s="426"/>
      <c r="E29" s="426"/>
      <c r="F29" s="426"/>
      <c r="G29" s="426"/>
      <c r="H29" s="114"/>
      <c r="I29" s="3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3" s="116" customFormat="1" ht="15.75" x14ac:dyDescent="0.25">
      <c r="A30" s="426"/>
      <c r="B30" s="426"/>
      <c r="C30" s="426"/>
      <c r="D30" s="426"/>
      <c r="E30" s="426"/>
      <c r="F30" s="426"/>
      <c r="G30" s="426"/>
      <c r="H30" s="114"/>
      <c r="I30" s="3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spans="1:23" s="116" customFormat="1" ht="15.75" x14ac:dyDescent="0.25">
      <c r="A31" s="426"/>
      <c r="B31" s="426"/>
      <c r="C31" s="426"/>
      <c r="D31" s="426"/>
      <c r="E31" s="426"/>
      <c r="F31" s="426"/>
      <c r="G31" s="426"/>
      <c r="H31" s="114"/>
      <c r="I31" s="3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3" s="116" customFormat="1" ht="15.75" x14ac:dyDescent="0.25">
      <c r="A32" s="426"/>
      <c r="B32" s="426"/>
      <c r="C32" s="426"/>
      <c r="D32" s="426"/>
      <c r="E32" s="426"/>
      <c r="F32" s="426"/>
      <c r="G32" s="426"/>
      <c r="H32" s="114"/>
      <c r="I32" s="3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spans="1:23" s="116" customFormat="1" ht="15.75" x14ac:dyDescent="0.25">
      <c r="A33" s="426"/>
      <c r="B33" s="426"/>
      <c r="C33" s="426"/>
      <c r="D33" s="426"/>
      <c r="E33" s="426"/>
      <c r="F33" s="426"/>
      <c r="G33" s="426"/>
      <c r="H33" s="114"/>
      <c r="I33" s="3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spans="1:23" s="116" customFormat="1" ht="15.75" x14ac:dyDescent="0.25">
      <c r="A34" s="426"/>
      <c r="B34" s="426"/>
      <c r="C34" s="426"/>
      <c r="D34" s="426"/>
      <c r="E34" s="426"/>
      <c r="F34" s="426"/>
      <c r="G34" s="426"/>
      <c r="H34" s="114"/>
      <c r="I34" s="3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spans="1:23" s="116" customFormat="1" ht="15.75" x14ac:dyDescent="0.25">
      <c r="A35" s="426"/>
      <c r="B35" s="426"/>
      <c r="C35" s="426"/>
      <c r="D35" s="426"/>
      <c r="E35" s="426"/>
      <c r="F35" s="426"/>
      <c r="G35" s="426"/>
      <c r="H35" s="114"/>
      <c r="I35" s="3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spans="1:23" s="116" customFormat="1" ht="15.75" x14ac:dyDescent="0.25">
      <c r="A36" s="426"/>
      <c r="B36" s="426"/>
      <c r="C36" s="426"/>
      <c r="D36" s="426"/>
      <c r="E36" s="426"/>
      <c r="F36" s="426"/>
      <c r="G36" s="426"/>
      <c r="H36" s="114"/>
      <c r="I36" s="3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spans="1:23" s="116" customFormat="1" ht="15.75" x14ac:dyDescent="0.25">
      <c r="A37" s="426"/>
      <c r="B37" s="426"/>
      <c r="C37" s="426"/>
      <c r="D37" s="426"/>
      <c r="E37" s="426"/>
      <c r="F37" s="426"/>
      <c r="G37" s="426"/>
      <c r="H37" s="114"/>
      <c r="I37" s="3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8" spans="1:23" s="116" customFormat="1" ht="15.75" x14ac:dyDescent="0.25">
      <c r="A38" s="426"/>
      <c r="B38" s="426"/>
      <c r="C38" s="426"/>
      <c r="D38" s="426"/>
      <c r="E38" s="426"/>
      <c r="F38" s="426"/>
      <c r="G38" s="426"/>
      <c r="H38" s="114"/>
      <c r="I38" s="3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spans="1:23" s="116" customFormat="1" ht="15.75" x14ac:dyDescent="0.25">
      <c r="A39" s="426"/>
      <c r="B39" s="426"/>
      <c r="C39" s="426"/>
      <c r="D39" s="426"/>
      <c r="E39" s="426"/>
      <c r="F39" s="426"/>
      <c r="G39" s="426"/>
      <c r="H39" s="114"/>
      <c r="I39" s="3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spans="1:23" s="116" customFormat="1" ht="15.75" x14ac:dyDescent="0.25">
      <c r="A40" s="426"/>
      <c r="B40" s="426"/>
      <c r="C40" s="426"/>
      <c r="D40" s="426"/>
      <c r="E40" s="426"/>
      <c r="F40" s="426"/>
      <c r="G40" s="426"/>
      <c r="H40" s="114"/>
      <c r="I40" s="3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spans="1:23" s="116" customFormat="1" ht="15.75" x14ac:dyDescent="0.25">
      <c r="A41" s="426"/>
      <c r="B41" s="426"/>
      <c r="C41" s="426"/>
      <c r="D41" s="426"/>
      <c r="E41" s="426"/>
      <c r="F41" s="426"/>
      <c r="G41" s="426"/>
      <c r="H41" s="114"/>
      <c r="I41" s="3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</row>
    <row r="42" spans="1:23" s="116" customFormat="1" ht="15.75" x14ac:dyDescent="0.25">
      <c r="A42" s="426"/>
      <c r="B42" s="426"/>
      <c r="C42" s="426"/>
      <c r="D42" s="426"/>
      <c r="E42" s="426"/>
      <c r="F42" s="426"/>
      <c r="G42" s="426"/>
      <c r="H42" s="114"/>
      <c r="I42" s="3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spans="1:23" s="116" customFormat="1" ht="15.75" x14ac:dyDescent="0.25">
      <c r="A43" s="426"/>
      <c r="B43" s="426"/>
      <c r="C43" s="426"/>
      <c r="D43" s="426"/>
      <c r="E43" s="426"/>
      <c r="F43" s="426"/>
      <c r="G43" s="426"/>
      <c r="H43" s="114"/>
      <c r="I43" s="3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</row>
    <row r="44" spans="1:23" s="116" customFormat="1" ht="15.75" x14ac:dyDescent="0.25">
      <c r="A44" s="426" t="s">
        <v>385</v>
      </c>
      <c r="B44" s="426"/>
      <c r="C44" s="426"/>
      <c r="D44" s="426"/>
      <c r="E44" s="426"/>
      <c r="F44" s="426"/>
      <c r="G44" s="426"/>
      <c r="H44" s="114"/>
      <c r="I44" s="3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</row>
    <row r="45" spans="1:23" s="116" customFormat="1" ht="15.75" x14ac:dyDescent="0.25">
      <c r="A45" s="426"/>
      <c r="B45" s="426"/>
      <c r="C45" s="426"/>
      <c r="D45" s="426"/>
      <c r="E45" s="426"/>
      <c r="F45" s="426"/>
      <c r="G45" s="426"/>
      <c r="H45" s="114"/>
      <c r="I45" s="3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</row>
    <row r="46" spans="1:23" s="116" customFormat="1" ht="15.75" x14ac:dyDescent="0.25">
      <c r="A46" s="117" t="s">
        <v>60</v>
      </c>
      <c r="B46" s="118"/>
      <c r="C46" s="119"/>
      <c r="D46" s="119"/>
      <c r="E46" s="120"/>
      <c r="F46" s="102"/>
      <c r="G46" s="102"/>
      <c r="H46" s="121">
        <f>SUM(H11:H45)</f>
        <v>125100</v>
      </c>
      <c r="I46" s="3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x14ac:dyDescent="0.2">
      <c r="A47" s="122" t="str">
        <f>'Kalkyl-Total'!A56</f>
        <v>Rev. 2019-02-05 BP</v>
      </c>
      <c r="C47" s="1"/>
      <c r="D47" s="1"/>
      <c r="E47" s="1"/>
      <c r="F47" s="71"/>
      <c r="G47" s="71"/>
      <c r="H47" s="7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">
      <c r="A48" s="123"/>
      <c r="C48" s="1"/>
      <c r="D48" s="1"/>
      <c r="E48" s="1"/>
      <c r="F48" s="59"/>
      <c r="G48" s="59"/>
      <c r="H48" s="7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">
      <c r="A49" s="123"/>
      <c r="C49" s="1"/>
      <c r="D49" s="1"/>
      <c r="E49" s="1"/>
      <c r="F49" s="71"/>
      <c r="G49" s="71"/>
      <c r="H49" s="7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">
      <c r="A50" s="123"/>
      <c r="C50" s="1"/>
      <c r="D50" s="1"/>
      <c r="E50" s="1"/>
      <c r="F50" s="71"/>
      <c r="G50" s="71"/>
      <c r="H50" s="7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">
      <c r="A51" s="123"/>
      <c r="C51" s="1"/>
      <c r="D51" s="1"/>
      <c r="E51" s="1"/>
      <c r="F51" s="71"/>
      <c r="G51" s="71"/>
      <c r="H51" s="7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">
      <c r="A52" s="123"/>
      <c r="C52" s="1"/>
      <c r="D52" s="1"/>
      <c r="E52" s="1"/>
      <c r="F52" s="71"/>
      <c r="G52" s="71"/>
      <c r="H52" s="7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</sheetData>
  <sheetProtection password="C74E" sheet="1" objects="1" scenarios="1"/>
  <mergeCells count="35">
    <mergeCell ref="A15:G15"/>
    <mergeCell ref="A16:G16"/>
    <mergeCell ref="A11:G11"/>
    <mergeCell ref="A12:G12"/>
    <mergeCell ref="A13:G13"/>
    <mergeCell ref="A14:G14"/>
    <mergeCell ref="A18:G18"/>
    <mergeCell ref="A19:G19"/>
    <mergeCell ref="A20:G20"/>
    <mergeCell ref="A21:G21"/>
    <mergeCell ref="A17:G17"/>
    <mergeCell ref="A22:G22"/>
    <mergeCell ref="A26:G26"/>
    <mergeCell ref="A23:G23"/>
    <mergeCell ref="A24:G24"/>
    <mergeCell ref="A25:G25"/>
    <mergeCell ref="A45:G45"/>
    <mergeCell ref="A35:G35"/>
    <mergeCell ref="A36:G36"/>
    <mergeCell ref="A37:G37"/>
    <mergeCell ref="A38:G38"/>
    <mergeCell ref="A39:G39"/>
    <mergeCell ref="A41:G41"/>
    <mergeCell ref="A42:G42"/>
    <mergeCell ref="A40:G40"/>
    <mergeCell ref="A43:G43"/>
    <mergeCell ref="A44:G44"/>
    <mergeCell ref="A27:G27"/>
    <mergeCell ref="A33:G33"/>
    <mergeCell ref="A34:G34"/>
    <mergeCell ref="A28:G28"/>
    <mergeCell ref="A29:G29"/>
    <mergeCell ref="A30:G30"/>
    <mergeCell ref="A31:G31"/>
    <mergeCell ref="A32:G32"/>
  </mergeCells>
  <pageMargins left="0.97986111111111107" right="0.24027777777777778" top="0.4597222222222222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I54"/>
  <sheetViews>
    <sheetView showGridLines="0" showZeros="0" zoomScaleNormal="100" workbookViewId="0">
      <selection activeCell="E18" sqref="E18"/>
    </sheetView>
  </sheetViews>
  <sheetFormatPr defaultRowHeight="12.75" x14ac:dyDescent="0.2"/>
  <cols>
    <col min="1" max="1" width="12.28515625" customWidth="1"/>
    <col min="3" max="3" width="6.28515625" customWidth="1"/>
    <col min="4" max="4" width="8.5703125" customWidth="1"/>
    <col min="5" max="5" width="9.85546875" customWidth="1"/>
    <col min="6" max="6" width="10.28515625" customWidth="1"/>
    <col min="8" max="8" width="8.5703125" customWidth="1"/>
    <col min="9" max="9" width="12.7109375" customWidth="1"/>
  </cols>
  <sheetData>
    <row r="2" spans="1:9" ht="23.25" x14ac:dyDescent="0.35">
      <c r="C2" s="308" t="s">
        <v>320</v>
      </c>
      <c r="E2" s="308"/>
    </row>
    <row r="3" spans="1:9" ht="23.25" x14ac:dyDescent="0.35">
      <c r="C3" s="308"/>
      <c r="E3" s="308"/>
      <c r="I3" s="321">
        <f>'Kalkyl-Boende'!H6</f>
        <v>45931</v>
      </c>
    </row>
    <row r="4" spans="1:9" ht="23.25" x14ac:dyDescent="0.35">
      <c r="E4" s="308"/>
    </row>
    <row r="5" spans="1:9" x14ac:dyDescent="0.2">
      <c r="A5" s="309" t="str">
        <f>'Kalkyl-Total'!D3</f>
        <v>Köpare</v>
      </c>
      <c r="B5" s="180"/>
      <c r="C5" s="180"/>
      <c r="D5" s="180"/>
      <c r="E5" s="153"/>
      <c r="F5" s="180" t="s">
        <v>249</v>
      </c>
      <c r="G5" s="180"/>
      <c r="H5" s="180"/>
      <c r="I5" s="153"/>
    </row>
    <row r="6" spans="1:9" x14ac:dyDescent="0.2">
      <c r="A6" s="95" t="str">
        <f>'Kalkyl-Total'!D4</f>
        <v>Havstenshult</v>
      </c>
      <c r="E6" s="96"/>
      <c r="F6" t="str">
        <f>'Kalkyl-Total'!G4</f>
        <v>Tomt nr. 15</v>
      </c>
      <c r="I6" s="96"/>
    </row>
    <row r="7" spans="1:9" x14ac:dyDescent="0.2">
      <c r="A7" s="95">
        <f>'Kalkyl-Total'!D5</f>
        <v>0</v>
      </c>
      <c r="E7" s="96"/>
      <c r="F7" s="102" t="str">
        <f>'Kalkyl-Boende'!D16</f>
        <v>Mullsjö</v>
      </c>
      <c r="G7" s="144"/>
      <c r="H7" s="144"/>
      <c r="I7" s="103"/>
    </row>
    <row r="8" spans="1:9" x14ac:dyDescent="0.2">
      <c r="A8" s="309" t="str">
        <f>'Kalkyl-Total'!A3</f>
        <v>Upprättad av</v>
      </c>
      <c r="B8" s="180"/>
      <c r="C8" s="180"/>
      <c r="D8" s="180"/>
      <c r="E8" s="153"/>
      <c r="F8" s="180" t="s">
        <v>9</v>
      </c>
      <c r="G8" s="180"/>
      <c r="H8" s="180"/>
      <c r="I8" s="153"/>
    </row>
    <row r="9" spans="1:9" x14ac:dyDescent="0.2">
      <c r="A9" s="108" t="str">
        <f>'Kalkyl-Total'!A4</f>
        <v xml:space="preserve">Erica Bernardin           </v>
      </c>
      <c r="B9" s="144"/>
      <c r="C9" s="144"/>
      <c r="D9" s="144"/>
      <c r="E9" s="103"/>
      <c r="F9" s="101" t="str">
        <f>'Kalkyl-Boende'!F16</f>
        <v>Villa Kalmar</v>
      </c>
      <c r="G9" s="144"/>
      <c r="H9" s="144"/>
      <c r="I9" s="103"/>
    </row>
    <row r="10" spans="1:9" x14ac:dyDescent="0.2">
      <c r="A10" s="309" t="s">
        <v>12</v>
      </c>
      <c r="B10" s="180"/>
      <c r="C10" s="180"/>
      <c r="D10" s="180"/>
      <c r="E10" s="180"/>
    </row>
    <row r="11" spans="1:9" x14ac:dyDescent="0.2">
      <c r="A11" s="71" t="s">
        <v>12</v>
      </c>
    </row>
    <row r="13" spans="1:9" ht="18" x14ac:dyDescent="0.25">
      <c r="A13" s="310" t="s">
        <v>250</v>
      </c>
    </row>
    <row r="14" spans="1:9" ht="18" x14ac:dyDescent="0.25">
      <c r="A14" s="310" t="s">
        <v>251</v>
      </c>
    </row>
    <row r="15" spans="1:9" ht="18" x14ac:dyDescent="0.25">
      <c r="A15" s="310"/>
    </row>
    <row r="17" spans="1:9" x14ac:dyDescent="0.2">
      <c r="A17" t="s">
        <v>252</v>
      </c>
      <c r="D17" t="s">
        <v>253</v>
      </c>
      <c r="E17" s="114">
        <v>150</v>
      </c>
      <c r="F17" t="s">
        <v>254</v>
      </c>
      <c r="G17" s="311">
        <v>36.25</v>
      </c>
      <c r="H17" t="s">
        <v>255</v>
      </c>
      <c r="I17" s="312">
        <f>E17*G17</f>
        <v>5437.5</v>
      </c>
    </row>
    <row r="19" spans="1:9" x14ac:dyDescent="0.2">
      <c r="A19" t="s">
        <v>256</v>
      </c>
      <c r="D19" t="s">
        <v>257</v>
      </c>
      <c r="E19" s="114">
        <v>4000</v>
      </c>
      <c r="F19" t="s">
        <v>258</v>
      </c>
      <c r="G19" s="311">
        <v>1.5</v>
      </c>
      <c r="H19" t="s">
        <v>255</v>
      </c>
      <c r="I19" s="313">
        <f>E19*G19</f>
        <v>6000</v>
      </c>
    </row>
    <row r="20" spans="1:9" x14ac:dyDescent="0.2">
      <c r="A20" t="s">
        <v>259</v>
      </c>
      <c r="E20" s="114">
        <v>3200</v>
      </c>
      <c r="F20" t="s">
        <v>258</v>
      </c>
      <c r="G20" s="311">
        <v>1.5</v>
      </c>
      <c r="I20" s="313">
        <f>E20*G20</f>
        <v>4800</v>
      </c>
    </row>
    <row r="21" spans="1:9" x14ac:dyDescent="0.2">
      <c r="E21" s="71"/>
      <c r="G21" s="314"/>
      <c r="I21" s="315"/>
    </row>
    <row r="22" spans="1:9" x14ac:dyDescent="0.2">
      <c r="A22" t="s">
        <v>260</v>
      </c>
      <c r="E22" s="71"/>
      <c r="G22" s="314"/>
      <c r="I22" s="316"/>
    </row>
    <row r="24" spans="1:9" x14ac:dyDescent="0.2">
      <c r="A24" t="s">
        <v>261</v>
      </c>
      <c r="I24" s="316">
        <v>4975</v>
      </c>
    </row>
    <row r="26" spans="1:9" x14ac:dyDescent="0.2">
      <c r="A26" t="s">
        <v>262</v>
      </c>
      <c r="I26" s="316">
        <v>5000</v>
      </c>
    </row>
    <row r="28" spans="1:9" x14ac:dyDescent="0.2">
      <c r="A28" t="s">
        <v>263</v>
      </c>
      <c r="I28" s="316">
        <v>0</v>
      </c>
    </row>
    <row r="30" spans="1:9" x14ac:dyDescent="0.2">
      <c r="A30" t="s">
        <v>264</v>
      </c>
      <c r="I30" s="313">
        <f>SUM(I17:I29)</f>
        <v>26212.5</v>
      </c>
    </row>
    <row r="32" spans="1:9" ht="15.75" x14ac:dyDescent="0.25">
      <c r="A32" s="317" t="s">
        <v>265</v>
      </c>
      <c r="I32" s="318">
        <f>TRUNC(I30+50,-2)</f>
        <v>26200</v>
      </c>
    </row>
    <row r="34" spans="1:9" ht="15.75" x14ac:dyDescent="0.25">
      <c r="A34" s="317" t="s">
        <v>266</v>
      </c>
      <c r="I34" s="319">
        <v>0</v>
      </c>
    </row>
    <row r="37" spans="1:9" x14ac:dyDescent="0.2">
      <c r="A37" s="123" t="s">
        <v>267</v>
      </c>
    </row>
    <row r="38" spans="1:9" x14ac:dyDescent="0.2">
      <c r="A38" s="291"/>
    </row>
    <row r="39" spans="1:9" x14ac:dyDescent="0.2">
      <c r="A39" s="291"/>
    </row>
    <row r="40" spans="1:9" x14ac:dyDescent="0.2">
      <c r="A40" s="291"/>
    </row>
    <row r="41" spans="1:9" x14ac:dyDescent="0.2">
      <c r="A41" s="291"/>
    </row>
    <row r="42" spans="1:9" x14ac:dyDescent="0.2">
      <c r="A42" s="291"/>
    </row>
    <row r="43" spans="1:9" x14ac:dyDescent="0.2">
      <c r="A43" s="291"/>
    </row>
    <row r="44" spans="1:9" x14ac:dyDescent="0.2">
      <c r="A44" s="291"/>
    </row>
    <row r="45" spans="1:9" x14ac:dyDescent="0.2">
      <c r="A45" s="291"/>
    </row>
    <row r="46" spans="1:9" x14ac:dyDescent="0.2">
      <c r="A46" s="291"/>
    </row>
    <row r="47" spans="1:9" x14ac:dyDescent="0.2">
      <c r="A47" s="291"/>
    </row>
    <row r="48" spans="1:9" x14ac:dyDescent="0.2">
      <c r="A48" s="291"/>
    </row>
    <row r="49" spans="1:1" x14ac:dyDescent="0.2">
      <c r="A49" s="291"/>
    </row>
    <row r="50" spans="1:1" x14ac:dyDescent="0.2">
      <c r="A50" s="291"/>
    </row>
    <row r="51" spans="1:1" x14ac:dyDescent="0.2">
      <c r="A51" s="291"/>
    </row>
    <row r="52" spans="1:1" x14ac:dyDescent="0.2">
      <c r="A52" s="291"/>
    </row>
    <row r="53" spans="1:1" x14ac:dyDescent="0.2">
      <c r="A53" s="291"/>
    </row>
    <row r="54" spans="1:1" x14ac:dyDescent="0.2">
      <c r="A54" s="292" t="str">
        <f>'Kalkyl-Total'!A56</f>
        <v>Rev. 2019-02-05 BP</v>
      </c>
    </row>
  </sheetData>
  <sheetProtection password="C74E" sheet="1"/>
  <pageMargins left="0.74791666666666667" right="0.1701388888888889" top="0.62986111111111109" bottom="0.5" header="0.51180555555555551" footer="0.51180555555555551"/>
  <pageSetup paperSize="9" scale="9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K108"/>
  <sheetViews>
    <sheetView showGridLines="0" showZeros="0" topLeftCell="A24" workbookViewId="0">
      <selection activeCell="H25" sqref="H25"/>
    </sheetView>
  </sheetViews>
  <sheetFormatPr defaultRowHeight="12.75" x14ac:dyDescent="0.2"/>
  <cols>
    <col min="1" max="1" width="10.28515625" customWidth="1"/>
    <col min="2" max="2" width="9.5703125" customWidth="1"/>
    <col min="3" max="3" width="11.42578125" customWidth="1"/>
    <col min="4" max="4" width="11" customWidth="1"/>
    <col min="5" max="5" width="11.7109375" customWidth="1"/>
    <col min="6" max="6" width="10.85546875" customWidth="1"/>
    <col min="7" max="7" width="11" customWidth="1"/>
    <col min="8" max="8" width="11.42578125" customWidth="1"/>
    <col min="9" max="9" width="9.85546875" customWidth="1"/>
    <col min="10" max="21" width="9.140625" hidden="1" customWidth="1"/>
    <col min="22" max="22" width="16.85546875" hidden="1" customWidth="1"/>
    <col min="23" max="23" width="16" hidden="1" customWidth="1"/>
    <col min="24" max="24" width="11.42578125" hidden="1" customWidth="1"/>
    <col min="25" max="28" width="9.140625" hidden="1" customWidth="1"/>
    <col min="29" max="29" width="10.5703125" hidden="1" customWidth="1"/>
    <col min="30" max="32" width="9.140625" hidden="1" customWidth="1"/>
    <col min="33" max="33" width="9" hidden="1" customWidth="1"/>
    <col min="34" max="36" width="9.140625" hidden="1" customWidth="1"/>
    <col min="37" max="37" width="18.140625" hidden="1" customWidth="1"/>
  </cols>
  <sheetData>
    <row r="1" spans="1:33" x14ac:dyDescent="0.2">
      <c r="A1" s="124"/>
      <c r="B1" s="11"/>
      <c r="C1" s="54"/>
      <c r="D1" s="54"/>
      <c r="E1" s="54"/>
      <c r="F1" s="71"/>
      <c r="G1" s="71"/>
      <c r="H1" s="71"/>
      <c r="I1" s="71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6"/>
      <c r="AB1" s="126"/>
      <c r="AC1" s="126"/>
      <c r="AD1" s="126"/>
      <c r="AE1" s="126"/>
      <c r="AF1" s="126"/>
    </row>
    <row r="2" spans="1:33" ht="18" x14ac:dyDescent="0.25">
      <c r="A2" s="71"/>
      <c r="B2" s="71"/>
      <c r="C2" s="71"/>
      <c r="D2" s="71"/>
      <c r="E2" s="127" t="s">
        <v>12</v>
      </c>
      <c r="F2" s="71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8" t="s">
        <v>61</v>
      </c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71"/>
    </row>
    <row r="3" spans="1:33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125"/>
      <c r="K3" s="129" t="s">
        <v>62</v>
      </c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71"/>
    </row>
    <row r="4" spans="1:33" x14ac:dyDescent="0.2">
      <c r="A4" s="71"/>
      <c r="B4" s="71"/>
      <c r="C4" s="71"/>
      <c r="D4" s="71"/>
      <c r="E4" s="71"/>
      <c r="F4" s="71"/>
      <c r="G4" s="71"/>
      <c r="H4" s="71"/>
      <c r="I4" s="71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25"/>
      <c r="Y4" s="125"/>
      <c r="Z4" s="125"/>
      <c r="AA4" s="125"/>
      <c r="AB4" s="125"/>
      <c r="AC4" s="125"/>
      <c r="AD4" s="125"/>
      <c r="AE4" s="125"/>
      <c r="AF4" s="125"/>
      <c r="AG4" s="71"/>
    </row>
    <row r="5" spans="1:33" x14ac:dyDescent="0.2">
      <c r="A5" s="130" t="s">
        <v>63</v>
      </c>
      <c r="B5" s="130"/>
      <c r="C5" s="130" t="s">
        <v>64</v>
      </c>
      <c r="D5" s="130"/>
      <c r="E5" s="130" t="s">
        <v>65</v>
      </c>
      <c r="F5" s="71"/>
      <c r="G5" s="71"/>
      <c r="H5" s="71"/>
      <c r="I5" s="71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6"/>
      <c r="U5" s="125"/>
      <c r="V5" s="125"/>
      <c r="W5" s="126"/>
      <c r="X5" s="125"/>
      <c r="Y5" s="125"/>
      <c r="Z5" s="125"/>
      <c r="AA5" s="125"/>
      <c r="AB5" s="125"/>
      <c r="AC5" s="125"/>
      <c r="AD5" s="125"/>
      <c r="AE5" s="125"/>
      <c r="AF5" s="125"/>
      <c r="AG5" s="71"/>
    </row>
    <row r="6" spans="1:33" x14ac:dyDescent="0.2">
      <c r="A6" s="130" t="s">
        <v>66</v>
      </c>
      <c r="B6" s="71"/>
      <c r="C6" s="71"/>
      <c r="D6" s="71"/>
      <c r="E6" s="123" t="s">
        <v>67</v>
      </c>
      <c r="G6" s="131" t="s">
        <v>68</v>
      </c>
      <c r="H6" s="132">
        <f>'Kalkyl-Total'!I4</f>
        <v>45931</v>
      </c>
      <c r="I6" s="133"/>
      <c r="J6" s="126"/>
      <c r="K6" s="126"/>
      <c r="L6" s="126"/>
      <c r="M6" s="126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71"/>
    </row>
    <row r="7" spans="1:33" x14ac:dyDescent="0.2">
      <c r="A7" s="123" t="s">
        <v>69</v>
      </c>
      <c r="B7" s="123" t="s">
        <v>70</v>
      </c>
      <c r="C7" s="71"/>
      <c r="D7" s="71"/>
      <c r="E7" s="71"/>
      <c r="F7" s="71"/>
      <c r="G7" s="71"/>
      <c r="H7" s="71"/>
      <c r="I7" s="71"/>
      <c r="J7" s="125"/>
      <c r="K7" s="126"/>
      <c r="L7" s="125"/>
      <c r="M7" s="125"/>
      <c r="N7" s="125"/>
      <c r="O7" s="125"/>
      <c r="P7" s="125"/>
      <c r="Q7" s="125"/>
      <c r="R7" s="125"/>
      <c r="S7" s="126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71"/>
    </row>
    <row r="8" spans="1:33" ht="15.75" x14ac:dyDescent="0.25">
      <c r="A8" s="130" t="s">
        <v>357</v>
      </c>
      <c r="B8" s="71"/>
      <c r="C8" s="71"/>
      <c r="D8" s="71"/>
      <c r="E8" s="71"/>
      <c r="F8" s="71"/>
      <c r="G8" s="71"/>
      <c r="H8" s="388">
        <v>2025</v>
      </c>
      <c r="I8" s="71"/>
      <c r="J8" s="125"/>
      <c r="K8" s="126"/>
      <c r="L8" s="125"/>
      <c r="M8" s="125"/>
      <c r="N8" s="125"/>
      <c r="O8" s="125"/>
      <c r="P8" s="125"/>
      <c r="Q8" s="125"/>
      <c r="R8" s="125"/>
      <c r="S8" s="126"/>
      <c r="T8" s="125"/>
      <c r="U8" s="125"/>
      <c r="V8" s="125"/>
      <c r="W8" s="125"/>
      <c r="X8" s="125"/>
      <c r="Y8" s="125"/>
      <c r="Z8" s="125"/>
      <c r="AA8" s="125"/>
      <c r="AB8" s="126"/>
      <c r="AC8" s="126"/>
      <c r="AD8" s="126"/>
      <c r="AE8" s="126"/>
      <c r="AF8" s="126"/>
    </row>
    <row r="9" spans="1:33" ht="20.25" x14ac:dyDescent="0.3">
      <c r="A9" s="123"/>
      <c r="B9" s="71"/>
      <c r="C9" s="71"/>
      <c r="D9" s="71"/>
      <c r="E9" s="71"/>
      <c r="F9" s="71"/>
      <c r="G9" s="71"/>
      <c r="H9" s="71"/>
      <c r="I9" s="71"/>
      <c r="J9" s="125"/>
      <c r="K9" s="126"/>
      <c r="L9" s="125"/>
      <c r="M9" s="125"/>
      <c r="N9" s="126"/>
      <c r="O9" s="126"/>
      <c r="P9" s="126"/>
      <c r="Q9" s="126"/>
      <c r="R9" s="126"/>
      <c r="S9" s="126"/>
      <c r="T9" s="134" t="s">
        <v>358</v>
      </c>
      <c r="U9" s="135"/>
      <c r="V9" s="135"/>
      <c r="W9" s="135"/>
      <c r="X9" s="385">
        <f>H8</f>
        <v>2025</v>
      </c>
      <c r="Y9" s="135"/>
      <c r="Z9" s="136"/>
      <c r="AA9" s="125"/>
      <c r="AB9" s="126"/>
      <c r="AC9" s="126"/>
      <c r="AD9" s="126"/>
      <c r="AE9" s="126"/>
      <c r="AF9" s="126"/>
    </row>
    <row r="10" spans="1:33" s="11" customFormat="1" ht="9.75" customHeight="1" thickBot="1" x14ac:dyDescent="0.25">
      <c r="A10" s="90" t="s">
        <v>71</v>
      </c>
      <c r="B10" s="137"/>
      <c r="C10" s="107" t="s">
        <v>72</v>
      </c>
      <c r="D10" s="138" t="s">
        <v>73</v>
      </c>
      <c r="E10" s="107" t="s">
        <v>74</v>
      </c>
      <c r="F10" s="107" t="s">
        <v>75</v>
      </c>
      <c r="G10" s="86" t="s">
        <v>76</v>
      </c>
      <c r="H10" s="87"/>
      <c r="J10" s="139"/>
      <c r="K10" s="140"/>
      <c r="L10" s="139"/>
      <c r="M10" s="139"/>
      <c r="N10" s="140"/>
      <c r="O10" s="140"/>
      <c r="P10" s="140"/>
      <c r="Q10" s="140"/>
      <c r="R10" s="140"/>
      <c r="S10" s="140"/>
      <c r="T10" s="141"/>
      <c r="U10" s="142"/>
      <c r="V10" s="142"/>
      <c r="W10" s="142"/>
      <c r="X10" s="142"/>
      <c r="Y10" s="142"/>
      <c r="Z10" s="143"/>
      <c r="AA10" s="139"/>
      <c r="AB10" s="140"/>
      <c r="AC10" s="140"/>
      <c r="AD10" s="140"/>
      <c r="AE10" s="140"/>
      <c r="AF10" s="140"/>
    </row>
    <row r="11" spans="1:33" ht="15.75" x14ac:dyDescent="0.25">
      <c r="A11" s="99" t="str">
        <f>'Kalkyl-Total'!D4</f>
        <v>Havstenshult</v>
      </c>
      <c r="B11" s="144"/>
      <c r="C11" s="109" t="str">
        <f>'Kalkyl-Total'!F4</f>
        <v xml:space="preserve">                   </v>
      </c>
      <c r="D11" s="145">
        <v>700000</v>
      </c>
      <c r="E11" s="145">
        <v>0</v>
      </c>
      <c r="F11" s="146">
        <v>0</v>
      </c>
      <c r="G11" s="101" t="str">
        <f>'Kalkyl-Total'!A4</f>
        <v xml:space="preserve">Erica Bernardin           </v>
      </c>
      <c r="H11" s="103"/>
      <c r="J11" s="125"/>
      <c r="K11" s="147" t="s">
        <v>77</v>
      </c>
      <c r="L11" s="148">
        <v>7</v>
      </c>
      <c r="M11" s="125"/>
      <c r="N11" s="126"/>
      <c r="O11" s="126"/>
      <c r="P11" s="126"/>
      <c r="Q11" s="126"/>
      <c r="R11" s="126"/>
      <c r="S11" s="126"/>
      <c r="T11" s="141" t="s">
        <v>337</v>
      </c>
      <c r="U11" s="142"/>
      <c r="V11" s="142"/>
      <c r="W11" s="149">
        <f>L13</f>
        <v>46500</v>
      </c>
      <c r="X11" s="142"/>
      <c r="Y11" s="142"/>
      <c r="Z11" s="143"/>
      <c r="AA11" s="125"/>
      <c r="AB11" s="126"/>
      <c r="AC11" s="126"/>
      <c r="AD11" s="126"/>
      <c r="AE11" s="126"/>
      <c r="AF11" s="126"/>
    </row>
    <row r="12" spans="1:33" s="11" customFormat="1" ht="9.75" customHeight="1" x14ac:dyDescent="0.2">
      <c r="A12" s="90" t="s">
        <v>78</v>
      </c>
      <c r="B12" s="137"/>
      <c r="C12" s="107"/>
      <c r="D12" s="138" t="s">
        <v>383</v>
      </c>
      <c r="E12" s="107" t="s">
        <v>74</v>
      </c>
      <c r="F12" s="107" t="s">
        <v>79</v>
      </c>
      <c r="G12" s="86"/>
      <c r="H12" s="87"/>
      <c r="J12" s="139" t="e">
        <f>+J:(VJJ):W</f>
        <v>#NAME?</v>
      </c>
      <c r="K12" s="147" t="s">
        <v>80</v>
      </c>
      <c r="L12" s="150">
        <v>0</v>
      </c>
      <c r="M12" s="139"/>
      <c r="N12" s="140"/>
      <c r="O12" s="140"/>
      <c r="P12" s="140"/>
      <c r="Q12" s="140"/>
      <c r="R12" s="140"/>
      <c r="S12" s="140"/>
      <c r="T12" s="141"/>
      <c r="U12" s="142"/>
      <c r="V12" s="142"/>
      <c r="W12"/>
      <c r="X12" s="142"/>
      <c r="Y12" s="142"/>
      <c r="Z12" s="143"/>
      <c r="AA12" s="139"/>
      <c r="AB12" s="140"/>
      <c r="AC12" s="140"/>
      <c r="AD12" s="140"/>
      <c r="AE12" s="140"/>
      <c r="AF12" s="140"/>
    </row>
    <row r="13" spans="1:33" x14ac:dyDescent="0.2">
      <c r="A13" s="99">
        <f>'Kalkyl-Total'!D5</f>
        <v>0</v>
      </c>
      <c r="B13" s="144"/>
      <c r="C13" s="151" t="str">
        <f>'Kalkyl-Total'!F5</f>
        <v xml:space="preserve">                </v>
      </c>
      <c r="D13" s="145"/>
      <c r="E13" s="145">
        <v>0</v>
      </c>
      <c r="F13" s="145"/>
      <c r="G13" s="108"/>
      <c r="H13" s="103"/>
      <c r="J13" s="125"/>
      <c r="K13" s="147" t="s">
        <v>81</v>
      </c>
      <c r="L13" s="152">
        <v>46500</v>
      </c>
      <c r="M13" s="125"/>
      <c r="N13" s="126"/>
      <c r="O13" s="126"/>
      <c r="P13" s="126"/>
      <c r="Q13" s="126"/>
      <c r="R13" s="126"/>
      <c r="S13" s="126"/>
      <c r="T13" s="141"/>
      <c r="U13" s="142"/>
      <c r="V13" s="142"/>
      <c r="W13" s="142"/>
      <c r="X13" s="142"/>
      <c r="Y13" s="142"/>
      <c r="Z13" s="143"/>
      <c r="AA13" s="125"/>
      <c r="AB13" s="126"/>
      <c r="AC13" s="126"/>
      <c r="AD13" s="126"/>
      <c r="AE13" s="126"/>
      <c r="AF13" s="126"/>
    </row>
    <row r="14" spans="1:33" ht="9" customHeight="1" x14ac:dyDescent="0.2">
      <c r="A14" s="71"/>
      <c r="D14" s="71"/>
      <c r="E14" s="71"/>
      <c r="F14" s="71"/>
      <c r="J14" s="125"/>
      <c r="K14" s="147" t="s">
        <v>82</v>
      </c>
      <c r="L14" s="121">
        <v>64400</v>
      </c>
      <c r="M14" s="125"/>
      <c r="N14" s="126"/>
      <c r="O14" s="126"/>
      <c r="P14" s="126"/>
      <c r="Q14" s="126"/>
      <c r="R14" s="126"/>
      <c r="S14" s="126"/>
      <c r="T14" s="141" t="s">
        <v>83</v>
      </c>
      <c r="U14" s="142"/>
      <c r="V14" s="142"/>
      <c r="W14" s="142"/>
      <c r="X14" s="142"/>
      <c r="Y14" s="142" t="s">
        <v>84</v>
      </c>
      <c r="Z14" s="143" t="s">
        <v>85</v>
      </c>
      <c r="AA14" s="125"/>
      <c r="AB14" s="126"/>
      <c r="AC14" s="126"/>
      <c r="AD14" s="126"/>
      <c r="AE14" s="126"/>
      <c r="AF14" s="126"/>
    </row>
    <row r="15" spans="1:33" s="11" customFormat="1" ht="9.75" customHeight="1" x14ac:dyDescent="0.2">
      <c r="A15" s="86" t="s">
        <v>86</v>
      </c>
      <c r="B15" s="137"/>
      <c r="C15" s="87"/>
      <c r="D15" s="86" t="s">
        <v>11</v>
      </c>
      <c r="E15" s="87"/>
      <c r="F15" s="86" t="s">
        <v>9</v>
      </c>
      <c r="G15" s="137"/>
      <c r="H15" s="153"/>
      <c r="I15"/>
      <c r="J15" s="139"/>
      <c r="K15" s="147" t="s">
        <v>87</v>
      </c>
      <c r="L15" s="154">
        <v>490700</v>
      </c>
      <c r="M15" s="139"/>
      <c r="N15" s="140"/>
      <c r="O15" s="140"/>
      <c r="P15" s="140"/>
      <c r="Q15" s="140"/>
      <c r="R15" s="140"/>
      <c r="S15" s="140"/>
      <c r="T15" s="141" t="s">
        <v>88</v>
      </c>
      <c r="U15" s="142"/>
      <c r="V15" s="142"/>
      <c r="W15" s="142"/>
      <c r="X15" s="142"/>
      <c r="Y15" s="142" t="s">
        <v>89</v>
      </c>
      <c r="Z15" s="155"/>
      <c r="AA15" s="139"/>
      <c r="AB15" s="140"/>
      <c r="AC15" s="140"/>
      <c r="AD15" s="140"/>
      <c r="AE15" s="140"/>
      <c r="AF15" s="140"/>
    </row>
    <row r="16" spans="1:33" x14ac:dyDescent="0.2">
      <c r="A16" s="101" t="str">
        <f>'Kalkyl-Total'!G4</f>
        <v>Tomt nr. 15</v>
      </c>
      <c r="B16" s="144"/>
      <c r="C16" s="103"/>
      <c r="D16" s="156" t="str">
        <f>'Kalkyl-Total'!G7</f>
        <v>Mullsjö</v>
      </c>
      <c r="E16" s="103"/>
      <c r="F16" s="101" t="str">
        <f>'Kalkyl-Total'!A7</f>
        <v>Villa Kalmar</v>
      </c>
      <c r="G16" s="144"/>
      <c r="H16" s="103"/>
      <c r="J16" s="125"/>
      <c r="K16" s="147" t="s">
        <v>90</v>
      </c>
      <c r="L16" s="157">
        <v>20</v>
      </c>
      <c r="M16" s="125"/>
      <c r="N16" s="126"/>
      <c r="O16" s="126"/>
      <c r="P16" s="126"/>
      <c r="Q16" s="126"/>
      <c r="R16" s="126"/>
      <c r="S16" s="126"/>
      <c r="T16" s="141" t="s">
        <v>91</v>
      </c>
      <c r="U16" s="142"/>
      <c r="V16" s="158">
        <v>0.99</v>
      </c>
      <c r="W16" s="159" t="s">
        <v>92</v>
      </c>
      <c r="X16" s="160"/>
      <c r="Y16" s="161">
        <f>ROUND(0.423*$W$11+50,-2)</f>
        <v>19700</v>
      </c>
      <c r="Z16" s="161">
        <f>ROUND(0.423*$W$11+50,-2)</f>
        <v>19700</v>
      </c>
      <c r="AA16" s="125"/>
      <c r="AB16" s="126"/>
      <c r="AC16" s="126"/>
      <c r="AD16" s="126"/>
      <c r="AE16" s="126"/>
      <c r="AF16" s="126"/>
    </row>
    <row r="17" spans="1:33" s="11" customFormat="1" ht="9.75" customHeight="1" x14ac:dyDescent="0.2">
      <c r="A17" s="107" t="s">
        <v>93</v>
      </c>
      <c r="B17" s="107"/>
      <c r="C17" s="107" t="s">
        <v>94</v>
      </c>
      <c r="D17" s="107" t="s">
        <v>95</v>
      </c>
      <c r="E17" s="107" t="s">
        <v>96</v>
      </c>
      <c r="F17" s="86" t="s">
        <v>10</v>
      </c>
      <c r="G17" s="87"/>
      <c r="H17" s="107"/>
      <c r="J17" s="139"/>
      <c r="K17" s="161" t="s">
        <v>97</v>
      </c>
      <c r="L17" s="158">
        <v>0</v>
      </c>
      <c r="M17" s="139"/>
      <c r="N17" s="140"/>
      <c r="O17" s="140"/>
      <c r="P17" s="140"/>
      <c r="Q17" s="140"/>
      <c r="R17" s="140"/>
      <c r="S17" s="140"/>
      <c r="T17" s="141" t="s">
        <v>98</v>
      </c>
      <c r="U17" s="142"/>
      <c r="V17" s="158">
        <v>2.72</v>
      </c>
      <c r="W17" s="159" t="s">
        <v>99</v>
      </c>
      <c r="X17" s="160"/>
      <c r="Y17" s="161">
        <f>ROUND(0.423*$W$11+(V22-0.99*$W$11)*0.2+50,-2)</f>
        <v>150500</v>
      </c>
      <c r="Z17" s="161">
        <f>ROUND(0.423*$W$11+(W22-0.99*$W$11)*0.2+50,-2)</f>
        <v>10500</v>
      </c>
      <c r="AA17" s="139"/>
      <c r="AB17" s="140"/>
      <c r="AC17" s="140"/>
      <c r="AD17" s="140"/>
      <c r="AE17" s="140"/>
      <c r="AF17" s="140"/>
    </row>
    <row r="18" spans="1:33" x14ac:dyDescent="0.2">
      <c r="A18" s="162">
        <v>33</v>
      </c>
      <c r="B18" s="163">
        <v>0</v>
      </c>
      <c r="C18" s="162" t="s">
        <v>12</v>
      </c>
      <c r="D18" s="164">
        <v>2025</v>
      </c>
      <c r="E18" s="164">
        <v>2025</v>
      </c>
      <c r="F18" s="101">
        <f>'Kalkyl-Total'!D7</f>
        <v>0</v>
      </c>
      <c r="G18" s="103"/>
      <c r="H18" s="163">
        <v>0</v>
      </c>
      <c r="I18" s="165"/>
      <c r="J18" s="125"/>
      <c r="K18" s="147" t="s">
        <v>100</v>
      </c>
      <c r="L18" s="154">
        <v>5</v>
      </c>
      <c r="M18" s="125"/>
      <c r="N18" s="126"/>
      <c r="O18" s="126"/>
      <c r="P18" s="126"/>
      <c r="Q18" s="126"/>
      <c r="R18" s="126"/>
      <c r="S18" s="126"/>
      <c r="T18" s="141" t="s">
        <v>101</v>
      </c>
      <c r="U18" s="142"/>
      <c r="V18" s="158">
        <v>3.11</v>
      </c>
      <c r="W18" s="159" t="s">
        <v>102</v>
      </c>
      <c r="X18" s="160"/>
      <c r="Y18" s="161">
        <f>ROUND(0.77*$W$11+50,-2)</f>
        <v>35900</v>
      </c>
      <c r="Z18" s="161">
        <f>ROUND(0.77*$W$11+50,-2)</f>
        <v>35900</v>
      </c>
      <c r="AA18" s="125"/>
      <c r="AB18" s="126"/>
      <c r="AC18" s="126"/>
      <c r="AD18" s="126"/>
      <c r="AE18" s="126"/>
      <c r="AF18" s="126"/>
    </row>
    <row r="19" spans="1:33" x14ac:dyDescent="0.2">
      <c r="J19" s="125"/>
      <c r="K19" s="161" t="s">
        <v>103</v>
      </c>
      <c r="L19" s="158">
        <v>689300</v>
      </c>
      <c r="M19" s="125"/>
      <c r="N19" s="126"/>
      <c r="O19" s="126"/>
      <c r="P19" s="126"/>
      <c r="Q19" s="125"/>
      <c r="R19" s="125"/>
      <c r="S19" s="125"/>
      <c r="T19" s="141" t="s">
        <v>104</v>
      </c>
      <c r="U19" s="142"/>
      <c r="V19" s="158">
        <v>7.88</v>
      </c>
      <c r="W19" s="159" t="s">
        <v>105</v>
      </c>
      <c r="X19" s="160"/>
      <c r="Y19" s="161">
        <f>ROUND(0.77*W11-(V22-3.11*W11)*0.1+50,-2)</f>
        <v>-19700</v>
      </c>
      <c r="Z19" s="161">
        <f>ROUND(0.77*$W$11-(W22-3.11*$W$11)*0.1+50,-2)</f>
        <v>50300</v>
      </c>
      <c r="AA19" s="125"/>
      <c r="AB19" s="126"/>
      <c r="AC19" s="126"/>
      <c r="AD19" s="126"/>
      <c r="AE19" s="126"/>
      <c r="AF19" s="126"/>
    </row>
    <row r="20" spans="1:33" x14ac:dyDescent="0.2">
      <c r="A20" s="90" t="s">
        <v>106</v>
      </c>
      <c r="B20" s="153"/>
      <c r="C20" s="166" t="s">
        <v>107</v>
      </c>
      <c r="D20" s="166" t="s">
        <v>108</v>
      </c>
      <c r="E20" s="167" t="s">
        <v>109</v>
      </c>
      <c r="F20" s="137" t="s">
        <v>110</v>
      </c>
      <c r="G20" s="153"/>
      <c r="H20" s="168">
        <f>'Kalkyl-Total'!G14+'Kalkyl-Total'!G24</f>
        <v>2382300</v>
      </c>
      <c r="I20" s="71"/>
      <c r="J20" s="125"/>
      <c r="K20" s="142" t="s">
        <v>111</v>
      </c>
      <c r="L20" s="142"/>
      <c r="M20" s="125"/>
      <c r="N20" s="126"/>
      <c r="O20" s="126"/>
      <c r="P20" s="126"/>
      <c r="Q20" s="126"/>
      <c r="R20" s="126"/>
      <c r="S20" s="126"/>
      <c r="T20" s="141" t="s">
        <v>112</v>
      </c>
      <c r="U20" s="142"/>
      <c r="V20" s="158">
        <v>7.88</v>
      </c>
      <c r="W20" s="159" t="s">
        <v>113</v>
      </c>
      <c r="X20" s="160"/>
      <c r="Y20" s="161">
        <f>ROUND(0.293*$W$11+50,-2)</f>
        <v>13700</v>
      </c>
      <c r="Z20" s="161">
        <f>ROUND(0.293*$W$11+50,-2)</f>
        <v>13700</v>
      </c>
      <c r="AA20" s="125"/>
      <c r="AB20" s="126"/>
      <c r="AC20" s="126"/>
      <c r="AD20" s="126"/>
      <c r="AE20" s="126"/>
      <c r="AF20" s="126"/>
    </row>
    <row r="21" spans="1:33" x14ac:dyDescent="0.2">
      <c r="A21" s="108"/>
      <c r="B21" s="103"/>
      <c r="C21" s="169"/>
      <c r="D21" s="170"/>
      <c r="E21" s="171" t="s">
        <v>114</v>
      </c>
      <c r="F21" s="137" t="s">
        <v>115</v>
      </c>
      <c r="G21" s="153"/>
      <c r="H21" s="168">
        <f>'Kalkyl-Total'!G41-'Kalkyl-Total'!E25-'Kalkyl-Total'!F25-'Kalkyl-Total'!D25+'Kalkyl-Total'!G46+'Kalkyl-Total'!G51</f>
        <v>484900</v>
      </c>
      <c r="I21" s="71"/>
      <c r="J21" s="125"/>
      <c r="K21" s="147" t="s">
        <v>116</v>
      </c>
      <c r="L21" s="172">
        <f>ROUND(IF((D11+E11)&lt;8.07*L14,(D11+E11)*L23/100,L14*8.07*L23/100),-2)</f>
        <v>36400</v>
      </c>
      <c r="M21" s="125"/>
      <c r="N21" s="126"/>
      <c r="O21" s="126"/>
      <c r="P21" s="126"/>
      <c r="Q21" s="126"/>
      <c r="R21" s="126"/>
      <c r="S21" s="126"/>
      <c r="T21" s="141"/>
      <c r="U21" s="142"/>
      <c r="V21" s="142"/>
      <c r="W21" s="142"/>
      <c r="X21" s="142"/>
      <c r="Y21" s="142"/>
      <c r="Z21" s="143"/>
      <c r="AA21" s="125"/>
      <c r="AB21" s="126"/>
      <c r="AC21" s="126"/>
      <c r="AD21" s="126"/>
      <c r="AE21" s="126"/>
      <c r="AF21" s="126"/>
    </row>
    <row r="22" spans="1:33" ht="15.75" x14ac:dyDescent="0.25">
      <c r="A22" s="173" t="s">
        <v>117</v>
      </c>
      <c r="B22" s="103"/>
      <c r="C22" s="368">
        <v>3.1300000000000001E-2</v>
      </c>
      <c r="D22" s="383">
        <f>IF(H27=0,0,IF(H24/H27&gt;0.5,0,Blad1!G13))</f>
        <v>0.02</v>
      </c>
      <c r="E22" s="174">
        <v>2</v>
      </c>
      <c r="F22" s="137" t="s">
        <v>118</v>
      </c>
      <c r="G22" s="153"/>
      <c r="H22" s="168">
        <f>'Kalkyl-Total'!D25+'Kalkyl-Total'!E25+'Kalkyl-Total'!F25</f>
        <v>399000</v>
      </c>
      <c r="I22" s="71"/>
      <c r="J22" s="125"/>
      <c r="K22" s="147" t="s">
        <v>85</v>
      </c>
      <c r="L22" s="172">
        <f>ROUND(IF((D13+E13)&lt;8.07*L14,(D13+E13)*L23/100,L14*8.07*L23/100),-2)</f>
        <v>0</v>
      </c>
      <c r="M22" s="125"/>
      <c r="N22" s="126"/>
      <c r="O22" s="126"/>
      <c r="P22" s="126"/>
      <c r="Q22" s="126"/>
      <c r="R22" s="126"/>
      <c r="S22" s="126"/>
      <c r="T22" s="141" t="s">
        <v>119</v>
      </c>
      <c r="U22" s="142"/>
      <c r="V22" s="149">
        <f>D11</f>
        <v>700000</v>
      </c>
      <c r="W22" s="149">
        <f>D13</f>
        <v>0</v>
      </c>
      <c r="X22" s="142"/>
      <c r="Y22" s="142"/>
      <c r="Z22" s="143"/>
      <c r="AA22" s="125"/>
      <c r="AB22" s="126"/>
      <c r="AC22" s="126"/>
      <c r="AD22" s="126"/>
      <c r="AE22" s="126"/>
      <c r="AF22" s="126"/>
    </row>
    <row r="23" spans="1:33" ht="16.5" thickBot="1" x14ac:dyDescent="0.3">
      <c r="A23" s="173" t="s">
        <v>120</v>
      </c>
      <c r="B23" s="103"/>
      <c r="C23" s="369">
        <v>3.1800000000000002E-2</v>
      </c>
      <c r="D23" s="384">
        <f>IF(H27=0,0,IF(H24/H27&gt;0.5,0,Blad1!G13))</f>
        <v>0.02</v>
      </c>
      <c r="E23" s="175">
        <v>4</v>
      </c>
      <c r="F23" s="176" t="s">
        <v>121</v>
      </c>
      <c r="G23" s="177"/>
      <c r="H23" s="168">
        <f>SUM(H20:H22)</f>
        <v>3266200</v>
      </c>
      <c r="I23" s="71"/>
      <c r="J23" s="125"/>
      <c r="K23" s="178" t="s">
        <v>122</v>
      </c>
      <c r="L23" s="179">
        <f>L11+R21</f>
        <v>7</v>
      </c>
      <c r="M23" s="125"/>
      <c r="N23" s="126"/>
      <c r="O23" s="126"/>
      <c r="P23" s="126"/>
      <c r="Q23" s="126"/>
      <c r="R23" s="126"/>
      <c r="S23" s="126"/>
      <c r="T23" s="141" t="s">
        <v>123</v>
      </c>
      <c r="U23" s="142"/>
      <c r="V23" s="149">
        <f>IF(V22&lt;W11*V16,Y16,IF(AND(V22&lt;V17*W11,V22&gt;V16),Y17,IF(AND(V22&lt;V18*W11,V22&gt;W11*V17),Y18,IF(AND(V22&lt;V19*W11,V22&gt;V18*W11),Y19,IF(V22&lt;V20,0,Y20)))))</f>
        <v>13700</v>
      </c>
      <c r="W23" s="149">
        <f>IF(W22&lt;W11*V16,Z16,IF(AND(W22&lt;V17*W11,W22&gt;V16),Z17,IF(AND(W22&lt;V18*W11,W22&gt;W11*V17),Z18,IF(AND(W22&lt;V19*W11,W22&gt;V18*W11),Z19,IF(W22&lt;V20,0,Z20)))))</f>
        <v>19700</v>
      </c>
      <c r="X23" s="142"/>
      <c r="Y23" s="142"/>
      <c r="Z23" s="143"/>
      <c r="AA23" s="125"/>
      <c r="AB23" s="126"/>
      <c r="AC23" s="126"/>
      <c r="AD23" s="126"/>
      <c r="AE23" s="126"/>
      <c r="AF23" s="126"/>
    </row>
    <row r="24" spans="1:33" ht="16.5" thickBot="1" x14ac:dyDescent="0.3">
      <c r="A24" s="187" t="s">
        <v>126</v>
      </c>
      <c r="B24" s="177"/>
      <c r="C24" s="370">
        <v>0.06</v>
      </c>
      <c r="D24" s="371">
        <v>0.1</v>
      </c>
      <c r="E24" s="188" t="s">
        <v>269</v>
      </c>
      <c r="F24" s="137" t="s">
        <v>124</v>
      </c>
      <c r="G24" s="180"/>
      <c r="H24" s="181">
        <v>490000</v>
      </c>
      <c r="I24" s="182"/>
      <c r="J24" s="125"/>
      <c r="K24" s="147" t="s">
        <v>125</v>
      </c>
      <c r="L24" s="183">
        <v>8.07</v>
      </c>
      <c r="M24" s="125"/>
      <c r="N24" s="126"/>
      <c r="O24" s="126"/>
      <c r="P24" s="126"/>
      <c r="Q24" s="126"/>
      <c r="R24" s="126"/>
      <c r="S24" s="126"/>
      <c r="T24" s="184"/>
      <c r="U24" s="185"/>
      <c r="V24" s="185"/>
      <c r="W24" s="185"/>
      <c r="X24" s="185"/>
      <c r="Y24" s="185"/>
      <c r="Z24" s="186"/>
      <c r="AA24" s="125"/>
      <c r="AB24" s="125"/>
      <c r="AC24" s="125"/>
      <c r="AD24" s="125"/>
      <c r="AE24" s="125"/>
      <c r="AF24" s="125"/>
      <c r="AG24" s="71"/>
    </row>
    <row r="25" spans="1:33" x14ac:dyDescent="0.2">
      <c r="F25" s="189" t="s">
        <v>127</v>
      </c>
      <c r="G25" s="177"/>
      <c r="H25" s="151">
        <f>H23-H24</f>
        <v>2776200</v>
      </c>
      <c r="I25" s="71"/>
      <c r="J25" s="128"/>
      <c r="K25" s="128"/>
      <c r="L25" s="128"/>
      <c r="M25" s="125"/>
      <c r="N25" s="126"/>
      <c r="O25" s="125"/>
      <c r="P25" s="126"/>
      <c r="Q25" s="126"/>
      <c r="R25" s="126"/>
      <c r="S25" s="126"/>
      <c r="T25" s="126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71"/>
    </row>
    <row r="26" spans="1:33" x14ac:dyDescent="0.2">
      <c r="A26" s="225"/>
      <c r="C26" s="382"/>
      <c r="D26" s="190"/>
      <c r="E26" s="191"/>
      <c r="F26" s="189" t="s">
        <v>319</v>
      </c>
      <c r="G26" s="177"/>
      <c r="H26" s="331">
        <v>0</v>
      </c>
      <c r="I26" s="71"/>
      <c r="J26" s="128"/>
      <c r="K26" s="128"/>
      <c r="L26" s="128"/>
      <c r="M26" s="125"/>
      <c r="N26" s="126"/>
      <c r="O26" s="125"/>
      <c r="P26" s="126"/>
      <c r="Q26" s="126"/>
      <c r="R26" s="126"/>
      <c r="S26" s="126"/>
      <c r="T26" s="126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71"/>
    </row>
    <row r="27" spans="1:33" x14ac:dyDescent="0.2">
      <c r="A27" s="11"/>
      <c r="D27" s="190"/>
      <c r="E27" s="191"/>
      <c r="F27" s="189" t="s">
        <v>128</v>
      </c>
      <c r="G27" s="177"/>
      <c r="H27" s="114">
        <f>H23+H26</f>
        <v>3266200</v>
      </c>
      <c r="I27" s="71"/>
      <c r="J27" s="128"/>
      <c r="K27" s="128"/>
      <c r="L27" s="128"/>
      <c r="M27" s="125"/>
      <c r="N27" s="125"/>
      <c r="O27" s="125"/>
      <c r="P27" s="126"/>
      <c r="Q27" s="126"/>
      <c r="R27" s="126"/>
      <c r="S27" s="126"/>
      <c r="T27" s="126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71"/>
    </row>
    <row r="28" spans="1:33" ht="13.5" thickBot="1" x14ac:dyDescent="0.25">
      <c r="G28" s="71"/>
      <c r="H28" s="71" t="s">
        <v>12</v>
      </c>
      <c r="I28" s="71"/>
      <c r="J28" s="125"/>
      <c r="K28" s="126"/>
      <c r="L28" s="125"/>
      <c r="M28" s="126"/>
      <c r="N28" s="126"/>
      <c r="O28" s="126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71"/>
    </row>
    <row r="29" spans="1:33" x14ac:dyDescent="0.2">
      <c r="A29" s="90" t="s">
        <v>129</v>
      </c>
      <c r="B29" s="106"/>
      <c r="C29" s="137"/>
      <c r="D29" s="153"/>
      <c r="E29" s="158" t="s">
        <v>130</v>
      </c>
      <c r="F29" s="192" t="s">
        <v>107</v>
      </c>
      <c r="G29" s="192" t="s">
        <v>131</v>
      </c>
      <c r="H29" s="166" t="s">
        <v>132</v>
      </c>
      <c r="I29" s="165"/>
      <c r="J29" s="125"/>
      <c r="K29" s="126"/>
      <c r="L29" s="125"/>
      <c r="M29" s="125"/>
      <c r="N29" s="126"/>
      <c r="O29" s="126"/>
      <c r="P29" s="125"/>
      <c r="Q29" s="125"/>
      <c r="R29" s="125"/>
      <c r="S29" s="125"/>
      <c r="T29" s="125"/>
      <c r="U29" s="193" t="s">
        <v>133</v>
      </c>
      <c r="V29" s="194"/>
      <c r="W29" s="195"/>
      <c r="X29" s="196" t="s">
        <v>134</v>
      </c>
      <c r="Y29" s="196" t="s">
        <v>135</v>
      </c>
      <c r="Z29" s="197" t="s">
        <v>132</v>
      </c>
      <c r="AA29" s="125"/>
      <c r="AB29" s="125"/>
      <c r="AC29" s="343" t="s">
        <v>342</v>
      </c>
      <c r="AD29" s="343"/>
      <c r="AE29" s="343">
        <f>((2.155*AF45-V23)*(A18-1.2)/100+0.03*13.54*AF45)/0.03</f>
        <v>1546589.5</v>
      </c>
      <c r="AF29" s="125"/>
      <c r="AG29" s="71"/>
    </row>
    <row r="30" spans="1:33" x14ac:dyDescent="0.2">
      <c r="A30" s="360" t="s">
        <v>117</v>
      </c>
      <c r="B30" s="396"/>
      <c r="C30" s="394"/>
      <c r="D30" s="362"/>
      <c r="E30" s="214">
        <f>Blad1!F17</f>
        <v>1633100</v>
      </c>
      <c r="F30" s="121">
        <f>C22*E30</f>
        <v>51116.03</v>
      </c>
      <c r="G30" s="121">
        <f>IF(H27=0,0,IF(E30&lt;H27*0.5,0,D22*E30))</f>
        <v>32662</v>
      </c>
      <c r="H30" s="121">
        <f>SUM(F30:G30)</f>
        <v>83778.03</v>
      </c>
      <c r="I30" s="71"/>
      <c r="J30" s="125"/>
      <c r="K30" s="199"/>
      <c r="L30" s="125"/>
      <c r="M30" s="125"/>
      <c r="N30" s="126"/>
      <c r="O30" s="158" t="s">
        <v>136</v>
      </c>
      <c r="P30" s="121" t="s">
        <v>137</v>
      </c>
      <c r="Q30" s="200" t="s">
        <v>138</v>
      </c>
      <c r="R30" s="200"/>
      <c r="S30" s="201"/>
      <c r="T30" s="125"/>
      <c r="U30" s="202"/>
      <c r="V30" s="203"/>
      <c r="W30" s="204"/>
      <c r="X30" s="205"/>
      <c r="Y30" s="206"/>
      <c r="Z30" s="207"/>
      <c r="AA30" s="126"/>
      <c r="AB30" s="126"/>
      <c r="AC30" s="343" t="s">
        <v>343</v>
      </c>
      <c r="AD30" s="343"/>
      <c r="AE30" s="343">
        <f>((2.155*AF45-W23)*(A18-1.2)/100+0.03*13.54*AF45)/0.03</f>
        <v>1482989.5</v>
      </c>
      <c r="AF30" s="125"/>
      <c r="AG30" s="71"/>
    </row>
    <row r="31" spans="1:33" x14ac:dyDescent="0.2">
      <c r="A31" s="360" t="s">
        <v>139</v>
      </c>
      <c r="B31" s="393" t="str">
        <f>IF(D31&gt;1,"Bör vara maximalt kronor","")</f>
        <v/>
      </c>
      <c r="C31" s="394"/>
      <c r="D31" s="395">
        <f>IF(E32-E30-E31+5&gt;1,0,E32-E30)</f>
        <v>0</v>
      </c>
      <c r="E31" s="214">
        <f>Blad1!F18</f>
        <v>1143100</v>
      </c>
      <c r="F31" s="121">
        <f>C23*E31</f>
        <v>36350.58</v>
      </c>
      <c r="G31" s="121">
        <f>IF(H27=0,0,D23*E31)</f>
        <v>22862</v>
      </c>
      <c r="H31" s="121">
        <f>SUM(F31:G31)</f>
        <v>59212.58</v>
      </c>
      <c r="I31" s="71"/>
      <c r="J31" s="125"/>
      <c r="K31" s="125"/>
      <c r="L31" s="125"/>
      <c r="M31" s="125"/>
      <c r="N31" s="126"/>
      <c r="O31" s="158"/>
      <c r="P31" s="121"/>
      <c r="Q31" s="209" t="s">
        <v>140</v>
      </c>
      <c r="R31" s="192" t="s">
        <v>141</v>
      </c>
      <c r="S31" s="154"/>
      <c r="T31" s="125"/>
      <c r="U31" s="202" t="s">
        <v>142</v>
      </c>
      <c r="V31" s="203"/>
      <c r="W31" s="204"/>
      <c r="X31" s="205">
        <f>D11</f>
        <v>700000</v>
      </c>
      <c r="Y31" s="205">
        <f>D13</f>
        <v>0</v>
      </c>
      <c r="Z31" s="210">
        <f>SUM(X31:Y31)</f>
        <v>700000</v>
      </c>
      <c r="AA31" s="126"/>
      <c r="AB31" s="126"/>
      <c r="AC31" s="125"/>
      <c r="AD31" s="125"/>
      <c r="AE31" s="125"/>
      <c r="AF31" s="125"/>
      <c r="AG31" s="71"/>
    </row>
    <row r="32" spans="1:33" x14ac:dyDescent="0.2">
      <c r="A32" s="173" t="s">
        <v>144</v>
      </c>
      <c r="B32" s="215"/>
      <c r="C32" s="216"/>
      <c r="D32" s="392">
        <f>IF(H27=0,0,Blad1!G12)</f>
        <v>0.84997856836690955</v>
      </c>
      <c r="E32" s="151">
        <f>SUM(E30:E31)</f>
        <v>2776200</v>
      </c>
      <c r="F32" s="151">
        <f>SUM(F30:F31)</f>
        <v>87466.61</v>
      </c>
      <c r="G32" s="151">
        <f>SUM(G30:G31)</f>
        <v>55524</v>
      </c>
      <c r="H32" s="151">
        <f>SUM(H30:H31)</f>
        <v>142990.60999999999</v>
      </c>
      <c r="I32" s="71"/>
      <c r="J32" s="125"/>
      <c r="K32" s="211"/>
      <c r="L32" s="125"/>
      <c r="M32" s="125"/>
      <c r="N32" s="126"/>
      <c r="O32" s="158">
        <v>1.1930000000000001</v>
      </c>
      <c r="P32" s="121">
        <f>L13</f>
        <v>46500</v>
      </c>
      <c r="Q32" s="212">
        <v>0</v>
      </c>
      <c r="R32" s="213">
        <f>O32*P32</f>
        <v>55474.5</v>
      </c>
      <c r="S32" s="154">
        <f>ROUND(P32*0.423+50,-2)</f>
        <v>19700</v>
      </c>
      <c r="T32" s="125"/>
      <c r="U32" s="202" t="s">
        <v>143</v>
      </c>
      <c r="V32" s="203"/>
      <c r="W32" s="204"/>
      <c r="X32" s="205"/>
      <c r="Y32" s="206"/>
      <c r="Z32" s="210">
        <f>SUM(X32:Y32)</f>
        <v>0</v>
      </c>
      <c r="AA32" s="126"/>
      <c r="AB32" s="126"/>
      <c r="AC32" s="125"/>
      <c r="AD32" s="125"/>
      <c r="AE32" s="125"/>
      <c r="AF32" s="125"/>
      <c r="AG32" s="71"/>
    </row>
    <row r="33" spans="1:37" x14ac:dyDescent="0.2">
      <c r="A33" s="90" t="s">
        <v>146</v>
      </c>
      <c r="B33" s="106"/>
      <c r="C33" s="137"/>
      <c r="D33" s="389">
        <f>IF(H27=0,0,Blad1!H8)</f>
        <v>0</v>
      </c>
      <c r="E33" s="301">
        <f>Blad1!F20</f>
        <v>0</v>
      </c>
      <c r="F33" s="213">
        <f>C24*E33</f>
        <v>0</v>
      </c>
      <c r="G33" s="168">
        <f>D24*E33</f>
        <v>0</v>
      </c>
      <c r="H33" s="168">
        <f>SUM(F33:G33)</f>
        <v>0</v>
      </c>
      <c r="I33" s="71"/>
      <c r="J33" s="125" t="s">
        <v>12</v>
      </c>
      <c r="K33" s="125"/>
      <c r="L33" s="125"/>
      <c r="M33" s="125"/>
      <c r="N33" s="126"/>
      <c r="O33" s="158">
        <v>2.7158000000000002</v>
      </c>
      <c r="P33" s="121">
        <f>P32</f>
        <v>46500</v>
      </c>
      <c r="Q33" s="212">
        <f>O33*P33</f>
        <v>126284.70000000001</v>
      </c>
      <c r="R33" s="213">
        <f>P33*3.122</f>
        <v>145173</v>
      </c>
      <c r="S33" s="154">
        <f>ROUND(0.771*P33,-2)</f>
        <v>35900</v>
      </c>
      <c r="T33" s="125"/>
      <c r="U33" s="202" t="s">
        <v>119</v>
      </c>
      <c r="V33" s="203"/>
      <c r="W33" s="204"/>
      <c r="X33" s="205">
        <f>X31-X32</f>
        <v>700000</v>
      </c>
      <c r="Y33" s="205">
        <f>Y31-Y32</f>
        <v>0</v>
      </c>
      <c r="Z33" s="210">
        <f>SUM(X33:Y33)</f>
        <v>700000</v>
      </c>
      <c r="AA33" s="126"/>
      <c r="AB33" s="126"/>
      <c r="AC33" s="125"/>
      <c r="AD33" s="125"/>
      <c r="AE33" s="125"/>
      <c r="AF33" s="125"/>
      <c r="AG33" s="71"/>
    </row>
    <row r="34" spans="1:37" ht="13.5" thickBot="1" x14ac:dyDescent="0.25">
      <c r="A34" s="360" t="s">
        <v>356</v>
      </c>
      <c r="B34" s="361"/>
      <c r="C34" s="361"/>
      <c r="D34" s="389">
        <f>IF(H27=0,0,H26/H27)</f>
        <v>0</v>
      </c>
      <c r="E34" s="372">
        <f>H26</f>
        <v>0</v>
      </c>
      <c r="F34" s="329"/>
      <c r="G34" s="327"/>
      <c r="H34" s="328"/>
      <c r="I34" s="71"/>
      <c r="J34" s="126"/>
      <c r="K34" s="125"/>
      <c r="L34" s="125"/>
      <c r="M34" s="125"/>
      <c r="N34" s="126"/>
      <c r="O34" s="158"/>
      <c r="P34" s="121">
        <f>P33</f>
        <v>46500</v>
      </c>
      <c r="Q34" s="212"/>
      <c r="R34" s="213">
        <f>R33</f>
        <v>145173</v>
      </c>
      <c r="S34" s="154">
        <f>S33</f>
        <v>35900</v>
      </c>
      <c r="T34" s="125"/>
      <c r="U34" s="202" t="s">
        <v>145</v>
      </c>
      <c r="V34" s="203"/>
      <c r="W34" s="217"/>
      <c r="X34" s="205">
        <f>E11</f>
        <v>0</v>
      </c>
      <c r="Y34" s="205">
        <f>E13</f>
        <v>0</v>
      </c>
      <c r="Z34" s="210">
        <f>SUM(X34:Y34)</f>
        <v>0</v>
      </c>
      <c r="AA34" s="126"/>
      <c r="AB34" s="126"/>
      <c r="AC34" s="125"/>
      <c r="AD34" s="125"/>
      <c r="AE34" s="125"/>
      <c r="AF34" s="125"/>
      <c r="AG34" s="71"/>
    </row>
    <row r="35" spans="1:37" ht="13.5" thickBot="1" x14ac:dyDescent="0.25">
      <c r="A35" s="367" t="s">
        <v>371</v>
      </c>
      <c r="B35" s="225"/>
      <c r="C35" s="11"/>
      <c r="D35" s="389">
        <f>IF(H27=0,0,(H24)/H27)</f>
        <v>0.15002143163309045</v>
      </c>
      <c r="E35" s="71">
        <f>H24</f>
        <v>490000</v>
      </c>
      <c r="F35" s="365"/>
      <c r="G35" s="366"/>
      <c r="H35" s="372"/>
      <c r="I35" s="71"/>
      <c r="J35" s="126"/>
      <c r="K35" s="199"/>
      <c r="L35" s="125"/>
      <c r="M35" s="125"/>
      <c r="N35" s="126"/>
      <c r="O35" s="158">
        <v>7.4619999999999997</v>
      </c>
      <c r="P35" s="121">
        <f>P34</f>
        <v>46500</v>
      </c>
      <c r="Q35" s="212"/>
      <c r="R35" s="213">
        <f>ROUND(O35*P35,-2)</f>
        <v>347000</v>
      </c>
      <c r="S35" s="154"/>
      <c r="T35" s="125"/>
      <c r="U35" s="202"/>
      <c r="V35" s="203"/>
      <c r="W35" s="218"/>
      <c r="X35" s="204"/>
      <c r="Y35" s="205"/>
      <c r="Z35" s="210"/>
      <c r="AA35" s="126"/>
      <c r="AB35" s="126"/>
      <c r="AC35" s="125"/>
      <c r="AD35" s="125"/>
      <c r="AE35" s="125"/>
      <c r="AF35" s="125"/>
      <c r="AG35" s="71"/>
    </row>
    <row r="36" spans="1:37" x14ac:dyDescent="0.2">
      <c r="A36" s="365" t="s">
        <v>151</v>
      </c>
      <c r="B36" s="366"/>
      <c r="C36" s="361"/>
      <c r="D36" s="362"/>
      <c r="E36" s="363">
        <f>SUM(E32:E35)</f>
        <v>3266200</v>
      </c>
      <c r="F36" s="363">
        <f>SUM(F32:F33)</f>
        <v>87466.61</v>
      </c>
      <c r="G36" s="363">
        <f>SUM(G32:G33)</f>
        <v>55524</v>
      </c>
      <c r="H36" s="363">
        <f>SUM(H32:H33)</f>
        <v>142990.60999999999</v>
      </c>
      <c r="I36" s="71"/>
      <c r="J36" s="126"/>
      <c r="K36" s="125"/>
      <c r="L36" s="125"/>
      <c r="M36" s="125"/>
      <c r="N36" s="126"/>
      <c r="O36" s="158"/>
      <c r="P36" s="121">
        <f>P35</f>
        <v>46500</v>
      </c>
      <c r="Q36" s="212">
        <f>R33</f>
        <v>145173</v>
      </c>
      <c r="R36" s="213">
        <f>R35</f>
        <v>347000</v>
      </c>
      <c r="S36" s="154">
        <f>S37</f>
        <v>12100</v>
      </c>
      <c r="T36" s="125"/>
      <c r="U36" s="202" t="s">
        <v>123</v>
      </c>
      <c r="V36" s="203"/>
      <c r="W36" s="219"/>
      <c r="X36" s="205">
        <f>-V23</f>
        <v>-13700</v>
      </c>
      <c r="Y36" s="205">
        <f>-W23</f>
        <v>-19700</v>
      </c>
      <c r="Z36" s="210">
        <f t="shared" ref="Z36:Z44" si="0">SUM(X36:Y36)</f>
        <v>-33400</v>
      </c>
      <c r="AA36" s="126"/>
      <c r="AB36" s="126"/>
      <c r="AC36" s="125"/>
      <c r="AD36" s="125"/>
      <c r="AE36" s="125"/>
      <c r="AF36" s="125"/>
      <c r="AG36" s="71"/>
    </row>
    <row r="37" spans="1:37" x14ac:dyDescent="0.2">
      <c r="A37" s="397" t="str">
        <f>IF(H37=0,"","Om totala lån överstiger 4,5 x bruttoinkomsten tillkommer 1% amort.")</f>
        <v/>
      </c>
      <c r="H37" s="363">
        <f>AK37</f>
        <v>0</v>
      </c>
      <c r="I37" s="59"/>
      <c r="J37" s="126"/>
      <c r="K37" s="222" t="s">
        <v>128</v>
      </c>
      <c r="L37" s="125"/>
      <c r="M37" s="125"/>
      <c r="N37" s="126"/>
      <c r="O37" s="158"/>
      <c r="P37" s="121">
        <f>P36</f>
        <v>46500</v>
      </c>
      <c r="Q37" s="112" t="s">
        <v>147</v>
      </c>
      <c r="R37" s="152">
        <f>R35</f>
        <v>347000</v>
      </c>
      <c r="S37" s="157">
        <v>12100</v>
      </c>
      <c r="T37" s="125"/>
      <c r="U37" s="202" t="s">
        <v>148</v>
      </c>
      <c r="V37" s="203"/>
      <c r="W37" s="204"/>
      <c r="X37" s="205">
        <f>SUM(X33:X36)</f>
        <v>686300</v>
      </c>
      <c r="Y37" s="205">
        <f>SUM(Y33:Y36)</f>
        <v>-19700</v>
      </c>
      <c r="Z37" s="210">
        <f t="shared" si="0"/>
        <v>666600</v>
      </c>
      <c r="AA37" s="126"/>
      <c r="AB37" s="223" t="s">
        <v>149</v>
      </c>
      <c r="AC37" s="350"/>
      <c r="AD37" s="351"/>
      <c r="AE37" s="262" t="s">
        <v>116</v>
      </c>
      <c r="AF37" s="224" t="s">
        <v>150</v>
      </c>
      <c r="AG37" s="71"/>
      <c r="AK37">
        <f>IF((D11+D13)*4.5&lt;(E32+E33),(E32+E33)*0.01,0)</f>
        <v>0</v>
      </c>
    </row>
    <row r="38" spans="1:37" ht="15" x14ac:dyDescent="0.2">
      <c r="A38" s="380" t="str">
        <f>IF(H27=0,0,IF((E35+E34)/H27&lt;0.1,"OBS! Kontantinsatsen är under 10% och bör höjas",""))</f>
        <v/>
      </c>
      <c r="E38" s="71"/>
      <c r="I38" s="71"/>
      <c r="J38" s="126"/>
      <c r="K38" s="205">
        <f>H27</f>
        <v>3266200</v>
      </c>
      <c r="L38" s="125"/>
      <c r="M38" s="125"/>
      <c r="N38" s="126"/>
      <c r="O38" s="126"/>
      <c r="P38" s="125"/>
      <c r="Q38" s="125"/>
      <c r="R38" s="125"/>
      <c r="S38" s="125"/>
      <c r="T38" s="125"/>
      <c r="U38" s="202"/>
      <c r="V38" s="203"/>
      <c r="W38" s="204"/>
      <c r="X38" s="205"/>
      <c r="Y38" s="206"/>
      <c r="Z38" s="210">
        <f t="shared" si="0"/>
        <v>0</v>
      </c>
      <c r="AA38" s="126"/>
      <c r="AB38" s="347">
        <f>AD38*$AF$45</f>
        <v>42315</v>
      </c>
      <c r="AC38" s="350" t="s">
        <v>152</v>
      </c>
      <c r="AD38" s="351">
        <v>0.91</v>
      </c>
      <c r="AE38" s="262">
        <f>(V22-V23)*($A$18-1.2)/100</f>
        <v>218243.4</v>
      </c>
      <c r="AF38" s="147">
        <f>(W22-W23)*($A$18-1.2)/100</f>
        <v>-6264.6</v>
      </c>
      <c r="AG38" s="71"/>
    </row>
    <row r="39" spans="1:37" x14ac:dyDescent="0.2">
      <c r="A39" s="71" t="s">
        <v>12</v>
      </c>
      <c r="B39" s="71"/>
      <c r="D39" s="17"/>
      <c r="E39" s="71"/>
      <c r="F39" s="71"/>
      <c r="G39" s="225"/>
      <c r="H39" s="71"/>
      <c r="I39" s="71"/>
      <c r="J39" s="126"/>
      <c r="K39" s="222" t="s">
        <v>153</v>
      </c>
      <c r="L39" s="125"/>
      <c r="M39" s="125"/>
      <c r="N39" s="126"/>
      <c r="O39" s="126"/>
      <c r="P39" s="126"/>
      <c r="Q39" s="126"/>
      <c r="R39" s="126"/>
      <c r="S39" s="126"/>
      <c r="T39" s="125"/>
      <c r="U39" s="202" t="s">
        <v>154</v>
      </c>
      <c r="V39" s="203"/>
      <c r="W39" s="204"/>
      <c r="X39" s="205">
        <f>IF(X37&lt;-8750,0,X37*A18/100)</f>
        <v>226479</v>
      </c>
      <c r="Y39" s="205">
        <f>IF(Y37&lt;-8650,0,Y37*A18/100)</f>
        <v>0</v>
      </c>
      <c r="Z39" s="210">
        <f t="shared" si="0"/>
        <v>226479</v>
      </c>
      <c r="AA39" s="126"/>
      <c r="AB39" s="347">
        <f>AD39*$AF$45</f>
        <v>136710</v>
      </c>
      <c r="AC39" s="350" t="s">
        <v>335</v>
      </c>
      <c r="AD39" s="351">
        <v>2.94</v>
      </c>
      <c r="AE39" s="262">
        <f>((0.91*AF45+0.332*(V22-0.91*AF45)-V23)*(A18-1.2)/100)</f>
        <v>78535.321560000011</v>
      </c>
      <c r="AF39" s="147">
        <f>((0.91*AF45+0.332*(W22-0.91*AF45)-W23)*(A18-1.2)/100)</f>
        <v>2724.1215599999996</v>
      </c>
      <c r="AG39" s="71"/>
    </row>
    <row r="40" spans="1:37" x14ac:dyDescent="0.2">
      <c r="A40" s="71"/>
      <c r="F40" s="71"/>
      <c r="G40" s="226" t="s">
        <v>155</v>
      </c>
      <c r="H40" s="121">
        <f>H36+H37</f>
        <v>142990.60999999999</v>
      </c>
      <c r="I40" s="71"/>
      <c r="J40" s="125"/>
      <c r="K40" s="205">
        <f>H23*0.9</f>
        <v>2939580</v>
      </c>
      <c r="L40" s="125"/>
      <c r="M40" s="125"/>
      <c r="N40" s="126"/>
      <c r="O40" s="126"/>
      <c r="P40" s="125"/>
      <c r="Q40" s="125"/>
      <c r="R40" s="125"/>
      <c r="S40" s="125"/>
      <c r="T40" s="125"/>
      <c r="U40" s="202" t="s">
        <v>156</v>
      </c>
      <c r="V40" s="203"/>
      <c r="W40" s="204"/>
      <c r="X40" s="205">
        <f>IF(X37&lt;L15,0,(X37-L15)*L16/100)</f>
        <v>39120</v>
      </c>
      <c r="Y40" s="205">
        <f>IF(Y37&lt;L15,0,(Y37-L15)*L16/100)</f>
        <v>0</v>
      </c>
      <c r="Z40" s="210">
        <f t="shared" si="0"/>
        <v>39120</v>
      </c>
      <c r="AA40" s="126"/>
      <c r="AB40" s="347">
        <f>AD40*$AF$45</f>
        <v>375720</v>
      </c>
      <c r="AC40" s="350" t="s">
        <v>336</v>
      </c>
      <c r="AD40" s="351">
        <v>8.08</v>
      </c>
      <c r="AE40" s="262">
        <f>(1.584*AF45+0.111*(V22-2.94*AF45)-V23)*($A$18-1.2)/100</f>
        <v>38949.01842</v>
      </c>
      <c r="AF40" s="147">
        <f>(1.584*AF45+0.111*(W22-2.94*AF45)-W23)*($A$18-1.2)/100</f>
        <v>12332.418420000002</v>
      </c>
      <c r="AG40" s="71"/>
    </row>
    <row r="41" spans="1:37" x14ac:dyDescent="0.2">
      <c r="A41" s="131" t="s">
        <v>157</v>
      </c>
      <c r="B41" s="71"/>
      <c r="E41" s="71"/>
      <c r="F41" s="71"/>
      <c r="G41" s="90" t="s">
        <v>158</v>
      </c>
      <c r="H41" s="398">
        <v>35000</v>
      </c>
      <c r="I41" s="71"/>
      <c r="J41" s="125"/>
      <c r="K41" s="227"/>
      <c r="L41" s="125" t="s">
        <v>159</v>
      </c>
      <c r="M41" s="125"/>
      <c r="N41" s="126"/>
      <c r="O41" s="126"/>
      <c r="P41" s="126"/>
      <c r="Q41" s="126"/>
      <c r="R41" s="126"/>
      <c r="S41" s="126"/>
      <c r="T41" s="125"/>
      <c r="U41" s="202" t="s">
        <v>160</v>
      </c>
      <c r="V41" s="203"/>
      <c r="W41" s="204">
        <f>L19</f>
        <v>689300</v>
      </c>
      <c r="X41" s="205">
        <f>IF(X37&lt;L19,0,(X37-L19)*L18/100)</f>
        <v>0</v>
      </c>
      <c r="Y41" s="205">
        <f>IF(Y37&lt;L19,0,(Y37-L19)*L18/100)</f>
        <v>0</v>
      </c>
      <c r="Z41" s="210">
        <f t="shared" si="0"/>
        <v>0</v>
      </c>
      <c r="AA41" s="126"/>
      <c r="AB41" s="347">
        <f>AD41*$AF$45</f>
        <v>629610</v>
      </c>
      <c r="AC41" s="350" t="s">
        <v>344</v>
      </c>
      <c r="AD41" s="351">
        <v>13.54</v>
      </c>
      <c r="AE41" s="348">
        <f>(2.155*AF45-V23)*($A$18-1.2)/100</f>
        <v>27509.384999999995</v>
      </c>
      <c r="AF41" s="344">
        <f>(2.155*AF45-W23)*($A$18-1.2)/100</f>
        <v>25601.384999999995</v>
      </c>
      <c r="AG41" s="71"/>
    </row>
    <row r="42" spans="1:37" ht="13.5" thickBot="1" x14ac:dyDescent="0.25">
      <c r="A42" s="225" t="s">
        <v>161</v>
      </c>
      <c r="B42" s="114">
        <v>0</v>
      </c>
      <c r="D42" s="11" t="s">
        <v>162</v>
      </c>
      <c r="E42" s="228">
        <v>0</v>
      </c>
      <c r="F42" s="229"/>
      <c r="G42" s="226" t="s">
        <v>163</v>
      </c>
      <c r="H42" s="168">
        <f>B42*E42/100</f>
        <v>0</v>
      </c>
      <c r="I42" s="71"/>
      <c r="J42" s="125"/>
      <c r="K42" s="227" t="s">
        <v>164</v>
      </c>
      <c r="L42" s="125" t="s">
        <v>165</v>
      </c>
      <c r="M42" s="125"/>
      <c r="N42" s="126"/>
      <c r="O42" s="126"/>
      <c r="P42" s="126"/>
      <c r="Q42" s="126"/>
      <c r="R42" s="126"/>
      <c r="S42" s="126"/>
      <c r="T42" s="125"/>
      <c r="U42" s="230" t="s">
        <v>166</v>
      </c>
      <c r="V42" s="231"/>
      <c r="W42" s="217"/>
      <c r="X42" s="232">
        <f>L21</f>
        <v>36400</v>
      </c>
      <c r="Y42" s="232">
        <f>L22</f>
        <v>0</v>
      </c>
      <c r="Z42" s="233">
        <f t="shared" si="0"/>
        <v>36400</v>
      </c>
      <c r="AA42" s="126"/>
      <c r="AB42" s="347">
        <f>AD42*$AF$45</f>
        <v>629610</v>
      </c>
      <c r="AC42" s="345" t="s">
        <v>345</v>
      </c>
      <c r="AD42" s="351">
        <v>13.54</v>
      </c>
      <c r="AE42" s="349">
        <f>IF(D11&gt;AE29,0,(2.155*AF45-V23)*(A18-1.2)/100-(D11-13.54*AF45)*0.03)</f>
        <v>25397.684999999994</v>
      </c>
      <c r="AF42" s="346">
        <f>IF(D13&gt;AE29,0,(2.155*AF45-W23)*(A18-1.2)/100-(D13-13.54*AF45)*0.03)</f>
        <v>44489.684999999998</v>
      </c>
      <c r="AG42" s="71"/>
    </row>
    <row r="43" spans="1:37" ht="13.5" thickBot="1" x14ac:dyDescent="0.25">
      <c r="F43" s="71"/>
      <c r="G43" s="90" t="s">
        <v>167</v>
      </c>
      <c r="H43" s="168">
        <f>'Kalkyl-Drift'!I34</f>
        <v>0</v>
      </c>
      <c r="I43" s="71"/>
      <c r="J43" s="125"/>
      <c r="K43" s="205"/>
      <c r="L43" s="125"/>
      <c r="M43" s="125"/>
      <c r="N43" s="126"/>
      <c r="O43" s="126"/>
      <c r="P43" s="126"/>
      <c r="Q43" s="126"/>
      <c r="R43" s="126"/>
      <c r="S43" s="126"/>
      <c r="T43" s="125"/>
      <c r="U43" s="234" t="s">
        <v>168</v>
      </c>
      <c r="V43" s="235"/>
      <c r="W43" s="236">
        <v>1</v>
      </c>
      <c r="X43" s="237">
        <f>-TRUNC(X42*W43,-2)</f>
        <v>-36400</v>
      </c>
      <c r="Y43" s="237">
        <f>-TRUNC(Y42*W43,-2)</f>
        <v>0</v>
      </c>
      <c r="Z43" s="206">
        <f t="shared" si="0"/>
        <v>-36400</v>
      </c>
      <c r="AA43" s="126"/>
      <c r="AB43" s="140"/>
      <c r="AC43" s="140"/>
      <c r="AD43" s="140"/>
      <c r="AE43" s="140"/>
      <c r="AF43" s="140"/>
      <c r="AG43" s="71"/>
    </row>
    <row r="44" spans="1:37" x14ac:dyDescent="0.2">
      <c r="A44" s="238" t="s">
        <v>12</v>
      </c>
      <c r="F44" s="71"/>
      <c r="G44" s="90" t="s">
        <v>169</v>
      </c>
      <c r="H44" s="168">
        <f>H40+H41+H42+H43</f>
        <v>177990.61</v>
      </c>
      <c r="I44" s="71"/>
      <c r="J44" s="125"/>
      <c r="K44" s="222"/>
      <c r="L44" s="125"/>
      <c r="M44" s="125"/>
      <c r="N44" s="126"/>
      <c r="O44" s="126"/>
      <c r="P44" s="126"/>
      <c r="Q44" s="239"/>
      <c r="R44" s="125"/>
      <c r="S44" s="125"/>
      <c r="T44" s="125"/>
      <c r="U44" s="205" t="s">
        <v>170</v>
      </c>
      <c r="V44" s="235"/>
      <c r="W44" s="237"/>
      <c r="X44" s="205">
        <f>-AB48</f>
        <v>-25397.684999999994</v>
      </c>
      <c r="Y44" s="205">
        <f>-AC48</f>
        <v>0</v>
      </c>
      <c r="Z44" s="205">
        <f t="shared" si="0"/>
        <v>-25397.684999999994</v>
      </c>
      <c r="AA44" s="126"/>
      <c r="AB44" s="224" t="s">
        <v>171</v>
      </c>
      <c r="AC44" s="240"/>
      <c r="AD44" s="240"/>
      <c r="AE44" s="241" t="s">
        <v>172</v>
      </c>
      <c r="AF44" s="242" t="s">
        <v>173</v>
      </c>
      <c r="AG44" s="71"/>
    </row>
    <row r="45" spans="1:37" x14ac:dyDescent="0.2">
      <c r="F45" s="71"/>
      <c r="G45" s="90" t="s">
        <v>174</v>
      </c>
      <c r="H45" s="168">
        <f>ROUND((F36+H42)*0.3,0)</f>
        <v>26240</v>
      </c>
      <c r="I45" s="71"/>
      <c r="J45" s="125"/>
      <c r="K45" s="243"/>
      <c r="L45" s="125"/>
      <c r="M45" s="244" t="s">
        <v>175</v>
      </c>
      <c r="N45" s="126"/>
      <c r="O45" s="126"/>
      <c r="P45" s="126"/>
      <c r="Q45" s="125"/>
      <c r="R45" s="125"/>
      <c r="S45" s="125"/>
      <c r="T45" s="125"/>
      <c r="U45" s="245" t="s">
        <v>176</v>
      </c>
      <c r="V45" s="246"/>
      <c r="W45" s="247"/>
      <c r="X45" s="248">
        <f>SUM(X39:X44)</f>
        <v>240201.315</v>
      </c>
      <c r="Y45" s="248">
        <f>SUM(Y39:Y44)</f>
        <v>0</v>
      </c>
      <c r="Z45" s="248">
        <f>SUM(Z39:Z44)</f>
        <v>240201.315</v>
      </c>
      <c r="AA45" s="126"/>
      <c r="AB45" s="249" t="s">
        <v>81</v>
      </c>
      <c r="AC45" s="250"/>
      <c r="AD45" s="251"/>
      <c r="AE45" s="386">
        <f>X9</f>
        <v>2025</v>
      </c>
      <c r="AF45" s="387">
        <f>W11</f>
        <v>46500</v>
      </c>
      <c r="AG45" s="71"/>
    </row>
    <row r="46" spans="1:37" x14ac:dyDescent="0.2">
      <c r="F46" s="71"/>
      <c r="G46" s="187" t="s">
        <v>177</v>
      </c>
      <c r="H46" s="121">
        <f>H44-H45</f>
        <v>151750.60999999999</v>
      </c>
      <c r="I46" s="71"/>
      <c r="J46" s="125"/>
      <c r="K46" s="243" t="s">
        <v>178</v>
      </c>
      <c r="L46" s="125"/>
      <c r="M46" s="252" t="s">
        <v>179</v>
      </c>
      <c r="N46" s="253"/>
      <c r="O46" s="254">
        <f>D11</f>
        <v>700000</v>
      </c>
      <c r="P46" s="126"/>
      <c r="Q46" s="255" t="s">
        <v>180</v>
      </c>
      <c r="R46" s="256"/>
      <c r="S46" s="257"/>
      <c r="T46" s="125"/>
      <c r="U46" s="258" t="s">
        <v>181</v>
      </c>
      <c r="V46" s="259"/>
      <c r="W46" s="259"/>
      <c r="X46" s="254">
        <f>X31-X45</f>
        <v>459798.685</v>
      </c>
      <c r="Y46" s="260">
        <f>Y31-Y45</f>
        <v>0</v>
      </c>
      <c r="Z46" s="261">
        <f>SUM(X46:Y46)</f>
        <v>459798.685</v>
      </c>
      <c r="AA46" s="126"/>
      <c r="AB46" s="224" t="s">
        <v>182</v>
      </c>
      <c r="AC46" s="240"/>
      <c r="AD46" s="262"/>
      <c r="AE46" s="125"/>
      <c r="AF46" s="125"/>
      <c r="AG46" s="71"/>
    </row>
    <row r="47" spans="1:37" x14ac:dyDescent="0.2">
      <c r="A47" s="71"/>
      <c r="B47" s="71"/>
      <c r="E47" s="71"/>
      <c r="F47" s="71"/>
      <c r="G47" s="71"/>
      <c r="H47" s="71"/>
      <c r="I47" s="71"/>
      <c r="J47" s="125"/>
      <c r="K47" s="205" t="e">
        <f>K16+K17</f>
        <v>#VALUE!</v>
      </c>
      <c r="L47" s="125"/>
      <c r="M47" s="263" t="s">
        <v>183</v>
      </c>
      <c r="N47" s="264"/>
      <c r="O47" s="265">
        <v>135000</v>
      </c>
      <c r="P47" s="126"/>
      <c r="Q47" s="266"/>
      <c r="R47" s="205" t="s">
        <v>184</v>
      </c>
      <c r="S47" s="210" t="s">
        <v>185</v>
      </c>
      <c r="T47" s="125"/>
      <c r="AA47" s="126"/>
      <c r="AB47" s="241" t="s">
        <v>116</v>
      </c>
      <c r="AC47" s="241" t="s">
        <v>85</v>
      </c>
      <c r="AD47" s="125"/>
      <c r="AE47" s="125"/>
      <c r="AF47" s="125"/>
      <c r="AG47" s="71"/>
    </row>
    <row r="48" spans="1:37" x14ac:dyDescent="0.2">
      <c r="B48" s="123" t="s">
        <v>186</v>
      </c>
      <c r="C48" s="123"/>
      <c r="F48" s="123"/>
      <c r="G48" s="123" t="s">
        <v>187</v>
      </c>
      <c r="H48" s="168">
        <f>ROUND(H44/12,0)</f>
        <v>14833</v>
      </c>
      <c r="I48" s="71"/>
      <c r="J48" s="125"/>
      <c r="K48" s="222" t="s">
        <v>188</v>
      </c>
      <c r="L48" s="125"/>
      <c r="M48" s="263" t="s">
        <v>189</v>
      </c>
      <c r="N48" s="264"/>
      <c r="O48" s="265">
        <v>1.2</v>
      </c>
      <c r="P48" s="126"/>
      <c r="Q48" s="266">
        <f>F11</f>
        <v>0</v>
      </c>
      <c r="R48" s="205">
        <f>Q48*1250</f>
        <v>0</v>
      </c>
      <c r="S48" s="267"/>
      <c r="T48" s="125"/>
      <c r="U48" s="205" t="s">
        <v>190</v>
      </c>
      <c r="V48" s="235"/>
      <c r="W48" s="237"/>
      <c r="X48" s="205">
        <f>SUM(X46:X47)</f>
        <v>459798.685</v>
      </c>
      <c r="Y48" s="205">
        <f>SUM(Y46:Y47)</f>
        <v>0</v>
      </c>
      <c r="Z48" s="205">
        <f>SUM(Z46:Z47)</f>
        <v>459798.685</v>
      </c>
      <c r="AA48" s="126"/>
      <c r="AB48" s="268">
        <f>IF(AND(V22&lt;AB39,V22&gt;AB38),AE39,IF(AND(V22&lt;AB40,V22&gt;AB39),AE40,IF(AND(V22&lt;AB41,V22&gt;AB40),AE41,IF(V22&gt;AB42,AE42))))</f>
        <v>25397.684999999994</v>
      </c>
      <c r="AC48" s="268" t="b">
        <f>IF(AND(W22&lt;AB39,W22&gt;AB38),AF39,IF(AND(W22&lt;AB40,W22&gt;AB39),AF40,IF(AND(W22&lt;AB41,W22&gt;AB40),AF41,IF(W22&gt;AB42,AF42))))</f>
        <v>0</v>
      </c>
      <c r="AD48" s="125"/>
      <c r="AE48" s="125"/>
      <c r="AF48" s="125"/>
      <c r="AG48" s="71"/>
    </row>
    <row r="49" spans="1:33" ht="18" x14ac:dyDescent="0.25">
      <c r="A49" s="71"/>
      <c r="B49" s="71"/>
      <c r="E49" s="71"/>
      <c r="F49" s="71"/>
      <c r="G49" s="130" t="s">
        <v>191</v>
      </c>
      <c r="H49" s="269">
        <f>ROUND(H46/12,0)</f>
        <v>12646</v>
      </c>
      <c r="I49" s="270"/>
      <c r="J49" s="125"/>
      <c r="K49" s="205">
        <f>IF(H25&lt;(K55-B18-IF(H18&lt;1,0,45000))*0.3,H25,(K55-B18-IF(H18&lt;1,0,45000))*0.3)</f>
        <v>0</v>
      </c>
      <c r="L49" s="126"/>
      <c r="M49" s="263" t="s">
        <v>192</v>
      </c>
      <c r="N49" s="264"/>
      <c r="O49" s="265">
        <v>1320</v>
      </c>
      <c r="P49" s="126"/>
      <c r="Q49" s="266" t="s">
        <v>193</v>
      </c>
      <c r="R49" s="205">
        <f>IF(Q48=2,150,0)</f>
        <v>0</v>
      </c>
      <c r="S49" s="267"/>
      <c r="T49" s="125"/>
      <c r="U49" s="271" t="s">
        <v>194</v>
      </c>
      <c r="V49" s="272"/>
      <c r="W49" s="219"/>
      <c r="X49" s="273"/>
      <c r="Y49" s="274"/>
      <c r="Z49" s="275">
        <f>-H46</f>
        <v>-151750.60999999999</v>
      </c>
      <c r="AA49" s="126"/>
      <c r="AB49" s="126"/>
      <c r="AC49" s="125"/>
      <c r="AD49" s="125"/>
      <c r="AE49" s="125"/>
      <c r="AF49" s="125"/>
      <c r="AG49" s="71"/>
    </row>
    <row r="50" spans="1:33" x14ac:dyDescent="0.2">
      <c r="B50" s="123" t="s">
        <v>195</v>
      </c>
      <c r="H50" s="276">
        <f>(G36+H37)/12</f>
        <v>4627</v>
      </c>
      <c r="I50" s="277"/>
      <c r="J50" s="125"/>
      <c r="K50" s="125"/>
      <c r="L50" s="125"/>
      <c r="M50" s="278" t="s">
        <v>196</v>
      </c>
      <c r="N50" s="279"/>
      <c r="O50" s="280">
        <f>IF(O46&lt;O47,O49,IF(O49-(O46-O47)*O48/100&gt;1,O49-(O46-O47)*O48/100,0))</f>
        <v>0</v>
      </c>
      <c r="P50" s="206">
        <f>IF(X31&lt;1,0,-O50)</f>
        <v>0</v>
      </c>
      <c r="Q50" s="266" t="s">
        <v>197</v>
      </c>
      <c r="R50" s="205">
        <f>IF(Q48=3,730,0)</f>
        <v>0</v>
      </c>
      <c r="S50" s="264"/>
      <c r="T50" s="125"/>
      <c r="U50" s="202" t="s">
        <v>198</v>
      </c>
      <c r="V50" s="203"/>
      <c r="W50" s="204"/>
      <c r="X50" s="206"/>
      <c r="Y50" s="206"/>
      <c r="Z50" s="207">
        <f>S54</f>
        <v>0</v>
      </c>
      <c r="AA50" s="126"/>
      <c r="AB50" s="126"/>
      <c r="AC50" s="125"/>
      <c r="AD50" s="125"/>
      <c r="AE50" s="125"/>
      <c r="AF50" s="125"/>
      <c r="AG50" s="71"/>
    </row>
    <row r="51" spans="1:33" ht="15.75" x14ac:dyDescent="0.25">
      <c r="B51" s="130" t="s">
        <v>199</v>
      </c>
      <c r="E51" s="130"/>
      <c r="F51" s="130"/>
      <c r="G51" s="71"/>
      <c r="H51" s="281">
        <f>Z53</f>
        <v>25670.672916666666</v>
      </c>
      <c r="I51" s="182"/>
      <c r="J51" s="125"/>
      <c r="K51" s="125" t="s">
        <v>200</v>
      </c>
      <c r="L51" s="125"/>
      <c r="M51" s="252" t="s">
        <v>201</v>
      </c>
      <c r="N51" s="253"/>
      <c r="O51" s="254">
        <f>D13</f>
        <v>0</v>
      </c>
      <c r="P51" s="126"/>
      <c r="Q51" s="282" t="s">
        <v>202</v>
      </c>
      <c r="R51" s="205">
        <f>IF(Q48=4,1740,0)</f>
        <v>0</v>
      </c>
      <c r="S51" s="264"/>
      <c r="T51" s="125"/>
      <c r="U51" s="282" t="s">
        <v>203</v>
      </c>
      <c r="V51" s="283"/>
      <c r="W51" s="283"/>
      <c r="X51" s="206"/>
      <c r="Y51" s="206"/>
      <c r="Z51" s="210">
        <f>F13</f>
        <v>0</v>
      </c>
      <c r="AA51" s="126"/>
      <c r="AB51" s="126"/>
      <c r="AC51" s="125"/>
      <c r="AD51" s="125"/>
      <c r="AE51" s="125"/>
      <c r="AF51" s="125"/>
      <c r="AG51" s="71"/>
    </row>
    <row r="52" spans="1:33" x14ac:dyDescent="0.2">
      <c r="G52" s="71"/>
      <c r="H52" s="71"/>
      <c r="I52" s="71"/>
      <c r="J52" s="125"/>
      <c r="K52" s="284">
        <f>K55</f>
        <v>0</v>
      </c>
      <c r="L52" s="125"/>
      <c r="M52" s="263" t="s">
        <v>183</v>
      </c>
      <c r="N52" s="264"/>
      <c r="O52" s="265">
        <v>135000</v>
      </c>
      <c r="P52" s="126"/>
      <c r="Q52" s="282" t="s">
        <v>204</v>
      </c>
      <c r="R52" s="205">
        <f>IF(Q48=5,2864,0)</f>
        <v>0</v>
      </c>
      <c r="S52" s="264"/>
      <c r="T52" s="126"/>
      <c r="U52" s="230" t="s">
        <v>205</v>
      </c>
      <c r="V52" s="231"/>
      <c r="W52" s="217"/>
      <c r="X52" s="232"/>
      <c r="Y52" s="285"/>
      <c r="Z52" s="233">
        <f>SUM(Z48:Z51)</f>
        <v>308048.07500000001</v>
      </c>
      <c r="AA52" s="126"/>
      <c r="AB52" s="126"/>
      <c r="AC52" s="125"/>
      <c r="AD52" s="125"/>
      <c r="AE52" s="125"/>
      <c r="AF52" s="125"/>
      <c r="AG52" s="71"/>
    </row>
    <row r="53" spans="1:33" x14ac:dyDescent="0.2">
      <c r="A53" s="11" t="s">
        <v>206</v>
      </c>
      <c r="B53" s="24" t="s">
        <v>207</v>
      </c>
      <c r="G53" s="71"/>
      <c r="H53" s="71"/>
      <c r="I53" s="71"/>
      <c r="J53" s="125"/>
      <c r="K53" s="125"/>
      <c r="L53" s="125"/>
      <c r="M53" s="263" t="s">
        <v>208</v>
      </c>
      <c r="N53" s="264"/>
      <c r="O53" s="265">
        <v>1.2</v>
      </c>
      <c r="P53" s="126"/>
      <c r="Q53" s="282" t="s">
        <v>209</v>
      </c>
      <c r="R53" s="206">
        <f>IF(Q48&gt;5,(2864+(Q48-5)*1250),0)</f>
        <v>0</v>
      </c>
      <c r="S53" s="264"/>
      <c r="T53" s="125"/>
      <c r="U53" s="258" t="s">
        <v>210</v>
      </c>
      <c r="V53" s="259"/>
      <c r="W53" s="260"/>
      <c r="X53" s="286"/>
      <c r="Y53" s="286"/>
      <c r="Z53" s="261">
        <f>IF(Z31=0,0,Z52/12)</f>
        <v>25670.672916666666</v>
      </c>
      <c r="AA53" s="126"/>
      <c r="AB53" s="126"/>
      <c r="AC53" s="125"/>
      <c r="AD53" s="125"/>
      <c r="AE53" s="125"/>
      <c r="AF53" s="125"/>
      <c r="AG53" s="71"/>
    </row>
    <row r="54" spans="1:33" x14ac:dyDescent="0.2">
      <c r="A54" t="s">
        <v>12</v>
      </c>
      <c r="B54" s="24" t="s">
        <v>211</v>
      </c>
      <c r="D54" s="71"/>
      <c r="E54" s="71"/>
      <c r="F54" s="71"/>
      <c r="G54" s="71"/>
      <c r="I54" s="71"/>
      <c r="J54" s="125"/>
      <c r="K54" s="126"/>
      <c r="L54" s="126"/>
      <c r="M54" s="263" t="s">
        <v>192</v>
      </c>
      <c r="N54" s="264"/>
      <c r="O54" s="265">
        <v>1320</v>
      </c>
      <c r="P54" s="126"/>
      <c r="Q54" s="287"/>
      <c r="R54" s="288">
        <f>SUM(R48:R53)</f>
        <v>0</v>
      </c>
      <c r="S54" s="289">
        <f>R54*12</f>
        <v>0</v>
      </c>
      <c r="T54" s="125"/>
      <c r="U54" s="126"/>
      <c r="V54" s="126"/>
      <c r="W54" s="126"/>
      <c r="X54" s="126"/>
      <c r="Y54" s="126"/>
      <c r="Z54" s="126"/>
      <c r="AA54" s="126"/>
      <c r="AB54" s="126"/>
      <c r="AC54" s="125"/>
      <c r="AD54" s="125"/>
      <c r="AE54" s="125"/>
      <c r="AF54" s="125"/>
      <c r="AG54" s="71"/>
    </row>
    <row r="55" spans="1:33" x14ac:dyDescent="0.2">
      <c r="B55" s="24" t="s">
        <v>212</v>
      </c>
      <c r="D55" s="71" t="s">
        <v>213</v>
      </c>
      <c r="E55" s="71"/>
      <c r="F55" s="71"/>
      <c r="I55" s="71"/>
      <c r="J55" s="125"/>
      <c r="K55" s="290"/>
      <c r="L55" s="126"/>
      <c r="M55" s="278" t="s">
        <v>214</v>
      </c>
      <c r="N55" s="279"/>
      <c r="O55" s="280">
        <f>IF(O51&lt;O52,O54,IF(O54-(O51-O52)*O53/100&gt;1,O54-(O51-O52)*O53/100,0))</f>
        <v>1320</v>
      </c>
      <c r="P55" s="206">
        <f>IF(Y31&lt;1,0,-O55)</f>
        <v>0</v>
      </c>
      <c r="Q55" s="126"/>
      <c r="R55" s="126"/>
      <c r="S55" s="126"/>
      <c r="T55" s="125"/>
      <c r="U55" s="125"/>
      <c r="V55" s="125"/>
      <c r="W55" s="125"/>
      <c r="X55" s="125"/>
      <c r="Y55" s="126"/>
      <c r="Z55" s="126"/>
      <c r="AA55" s="126"/>
      <c r="AB55" s="126"/>
      <c r="AC55" s="125"/>
      <c r="AD55" s="125"/>
      <c r="AE55" s="125"/>
      <c r="AF55" s="125"/>
      <c r="AG55" s="71" t="s">
        <v>372</v>
      </c>
    </row>
    <row r="56" spans="1:33" x14ac:dyDescent="0.2">
      <c r="B56" s="352" t="s">
        <v>368</v>
      </c>
      <c r="D56" s="71"/>
      <c r="E56" s="71"/>
      <c r="F56" s="71"/>
      <c r="G56" s="291"/>
      <c r="I56" s="71"/>
      <c r="J56" s="125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5"/>
      <c r="AB56" s="125"/>
      <c r="AC56" s="125"/>
      <c r="AD56" s="125"/>
      <c r="AE56" s="125"/>
      <c r="AF56" s="125"/>
      <c r="AG56" s="71"/>
    </row>
    <row r="57" spans="1:33" ht="15" x14ac:dyDescent="0.25">
      <c r="B57" s="317" t="s">
        <v>369</v>
      </c>
      <c r="J57" s="125"/>
      <c r="K57" s="126"/>
      <c r="L57" s="126"/>
      <c r="M57" s="126"/>
      <c r="N57" s="126"/>
      <c r="O57" s="126"/>
      <c r="P57" s="125"/>
      <c r="Q57" s="125"/>
      <c r="R57" s="125"/>
      <c r="S57" s="125"/>
      <c r="T57" s="126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71"/>
    </row>
    <row r="58" spans="1:33" ht="15" x14ac:dyDescent="0.25">
      <c r="B58" s="317" t="s">
        <v>370</v>
      </c>
      <c r="J58" s="125"/>
      <c r="K58" s="126"/>
      <c r="L58" s="126"/>
      <c r="M58" s="126"/>
      <c r="N58" s="126"/>
      <c r="O58" s="126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71"/>
    </row>
    <row r="59" spans="1:33" x14ac:dyDescent="0.2">
      <c r="A59" s="122" t="str">
        <f>'Kalkyl-Total'!A56</f>
        <v>Rev. 2019-02-05 BP</v>
      </c>
      <c r="H59" s="292"/>
      <c r="I59" s="292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spans="1:33" x14ac:dyDescent="0.2"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AB60" s="71"/>
      <c r="AC60" s="71"/>
      <c r="AD60" s="71"/>
      <c r="AE60" s="71"/>
      <c r="AF60" s="71"/>
      <c r="AG60" s="71"/>
    </row>
    <row r="61" spans="1:33" hidden="1" x14ac:dyDescent="0.2">
      <c r="P61" s="71"/>
      <c r="Q61" s="71"/>
      <c r="R61" s="71"/>
      <c r="S61" s="71"/>
    </row>
    <row r="62" spans="1:33" hidden="1" x14ac:dyDescent="0.2">
      <c r="A62" s="71"/>
      <c r="B62" s="71"/>
      <c r="C62" s="71"/>
      <c r="D62" s="71"/>
      <c r="E62" s="71"/>
      <c r="F62" s="71"/>
      <c r="G62" s="71"/>
      <c r="P62" s="71"/>
      <c r="Q62" s="71"/>
      <c r="R62" s="71"/>
      <c r="S62" s="71"/>
    </row>
    <row r="63" spans="1:33" hidden="1" x14ac:dyDescent="0.2">
      <c r="A63" s="71"/>
      <c r="B63" s="71"/>
      <c r="C63" s="71"/>
      <c r="D63" s="71"/>
      <c r="E63" s="71"/>
      <c r="F63" s="71"/>
      <c r="H63" s="71"/>
      <c r="I63" s="71"/>
      <c r="P63" s="71"/>
      <c r="Q63" s="71"/>
      <c r="R63" s="71"/>
      <c r="S63" s="71"/>
    </row>
    <row r="64" spans="1:33" hidden="1" x14ac:dyDescent="0.2">
      <c r="G64" s="293" t="s">
        <v>5</v>
      </c>
      <c r="H64" s="133">
        <f ca="1">NOW()</f>
        <v>45939.415881597219</v>
      </c>
      <c r="I64" s="133"/>
      <c r="J64" s="71"/>
      <c r="P64" s="71"/>
      <c r="Q64" s="71"/>
      <c r="R64" s="71"/>
      <c r="S64" s="71"/>
    </row>
    <row r="65" spans="1:19" hidden="1" x14ac:dyDescent="0.2">
      <c r="P65" s="71"/>
      <c r="Q65" s="71"/>
      <c r="R65" s="71"/>
      <c r="S65" s="71"/>
    </row>
    <row r="66" spans="1:19" hidden="1" x14ac:dyDescent="0.2">
      <c r="J66" s="133"/>
      <c r="P66" s="71"/>
      <c r="Q66" s="71"/>
      <c r="R66" s="71"/>
      <c r="S66" s="71"/>
    </row>
    <row r="67" spans="1:19" hidden="1" x14ac:dyDescent="0.2">
      <c r="P67" s="71"/>
      <c r="Q67" s="71"/>
      <c r="R67" s="71"/>
      <c r="S67" s="71"/>
    </row>
    <row r="68" spans="1:19" hidden="1" x14ac:dyDescent="0.2">
      <c r="P68" s="71"/>
      <c r="Q68" s="71"/>
      <c r="R68" s="71"/>
      <c r="S68" s="71"/>
    </row>
    <row r="69" spans="1:19" hidden="1" x14ac:dyDescent="0.2">
      <c r="G69" s="71"/>
      <c r="P69" s="71"/>
      <c r="Q69" s="71"/>
      <c r="R69" s="71"/>
      <c r="S69" s="71"/>
    </row>
    <row r="70" spans="1:19" ht="18" hidden="1" x14ac:dyDescent="0.25">
      <c r="A70" s="127" t="s">
        <v>215</v>
      </c>
      <c r="B70" s="71"/>
      <c r="C70" s="71"/>
      <c r="D70" s="71"/>
      <c r="E70" s="71"/>
      <c r="F70" s="71"/>
      <c r="G70" s="71"/>
      <c r="H70" s="71"/>
      <c r="I70" s="71"/>
      <c r="P70" s="71"/>
      <c r="Q70" s="71"/>
      <c r="R70" s="71"/>
      <c r="S70" s="71"/>
    </row>
    <row r="71" spans="1:19" hidden="1" x14ac:dyDescent="0.2">
      <c r="A71" s="71"/>
      <c r="B71" s="71"/>
      <c r="C71" s="71"/>
      <c r="D71" s="71"/>
      <c r="E71" s="71"/>
      <c r="F71" s="71"/>
      <c r="H71" s="71"/>
      <c r="I71" s="71"/>
      <c r="J71" s="71"/>
      <c r="P71" s="71"/>
      <c r="Q71" s="71"/>
      <c r="R71" s="71"/>
      <c r="S71" s="71"/>
    </row>
    <row r="72" spans="1:19" hidden="1" x14ac:dyDescent="0.2">
      <c r="A72" s="225" t="s">
        <v>216</v>
      </c>
      <c r="B72" s="71" t="str">
        <f>A11</f>
        <v>Havstenshult</v>
      </c>
      <c r="C72" s="71"/>
      <c r="D72" s="71" t="s">
        <v>217</v>
      </c>
      <c r="E72" s="71" t="str">
        <f>A16</f>
        <v>Tomt nr. 15</v>
      </c>
      <c r="F72" s="71"/>
      <c r="G72" s="225" t="s">
        <v>218</v>
      </c>
      <c r="H72" s="121">
        <f>D18</f>
        <v>2025</v>
      </c>
      <c r="I72" s="71"/>
      <c r="J72" s="71"/>
    </row>
    <row r="73" spans="1:19" hidden="1" x14ac:dyDescent="0.2">
      <c r="A73" s="225" t="s">
        <v>219</v>
      </c>
      <c r="B73" s="71">
        <f>A13</f>
        <v>0</v>
      </c>
      <c r="C73" s="71"/>
      <c r="D73" s="71" t="s">
        <v>220</v>
      </c>
      <c r="E73" s="71" t="str">
        <f>D16</f>
        <v>Mullsjö</v>
      </c>
      <c r="F73" s="71"/>
      <c r="G73" s="225" t="s">
        <v>221</v>
      </c>
      <c r="H73" s="121">
        <f>E18</f>
        <v>2025</v>
      </c>
      <c r="I73" s="71"/>
      <c r="J73" s="71"/>
    </row>
    <row r="74" spans="1:19" hidden="1" x14ac:dyDescent="0.2">
      <c r="A74" s="225" t="s">
        <v>222</v>
      </c>
      <c r="B74" s="71" t="str">
        <f>G11</f>
        <v xml:space="preserve">Erica Bernardin           </v>
      </c>
      <c r="C74" s="71"/>
      <c r="D74" s="71"/>
      <c r="E74" s="71"/>
      <c r="F74" s="71"/>
      <c r="G74" s="225"/>
      <c r="H74" s="294"/>
      <c r="I74" s="294"/>
      <c r="J74" s="71"/>
    </row>
    <row r="75" spans="1:19" hidden="1" x14ac:dyDescent="0.2">
      <c r="A75" s="71"/>
      <c r="B75" s="71"/>
      <c r="C75" s="71"/>
      <c r="D75" s="71" t="s">
        <v>223</v>
      </c>
      <c r="E75" s="71"/>
      <c r="F75" s="295">
        <f>ROUND(0.75*H23,-4)</f>
        <v>2450000</v>
      </c>
      <c r="G75" s="225"/>
      <c r="H75" s="294"/>
      <c r="I75" s="294"/>
      <c r="J75" s="294"/>
    </row>
    <row r="76" spans="1:19" hidden="1" x14ac:dyDescent="0.2">
      <c r="C76" s="71"/>
      <c r="D76" s="71"/>
      <c r="E76" s="71"/>
      <c r="F76" s="71"/>
      <c r="G76" s="71"/>
      <c r="H76" s="71"/>
      <c r="I76" s="71"/>
      <c r="J76" s="294"/>
    </row>
    <row r="77" spans="1:19" hidden="1" x14ac:dyDescent="0.2">
      <c r="A77" s="11" t="s">
        <v>224</v>
      </c>
      <c r="B77" s="71" t="str">
        <f>F16</f>
        <v>Villa Kalmar</v>
      </c>
      <c r="C77" s="71"/>
      <c r="D77" s="71" t="s">
        <v>225</v>
      </c>
      <c r="E77" s="71"/>
      <c r="F77" s="71"/>
      <c r="G77" s="71"/>
      <c r="H77" s="71"/>
      <c r="I77" s="71"/>
      <c r="J77" s="71"/>
    </row>
    <row r="78" spans="1:19" hidden="1" x14ac:dyDescent="0.2">
      <c r="A78" s="11" t="s">
        <v>226</v>
      </c>
      <c r="B78" s="71">
        <f>F18</f>
        <v>0</v>
      </c>
      <c r="C78" s="71"/>
      <c r="D78" s="71" t="s">
        <v>227</v>
      </c>
      <c r="E78" s="71"/>
      <c r="F78" s="71"/>
      <c r="H78" s="71"/>
      <c r="I78" s="71"/>
      <c r="J78" s="71"/>
    </row>
    <row r="79" spans="1:19" hidden="1" x14ac:dyDescent="0.2">
      <c r="A79" s="11" t="s">
        <v>228</v>
      </c>
      <c r="B79" s="296" t="e">
        <f>H20/C18</f>
        <v>#VALUE!</v>
      </c>
      <c r="J79" s="71"/>
    </row>
    <row r="80" spans="1:19" hidden="1" x14ac:dyDescent="0.2">
      <c r="A80" t="s">
        <v>229</v>
      </c>
      <c r="D80" t="s">
        <v>230</v>
      </c>
    </row>
    <row r="81" spans="1:31" hidden="1" x14ac:dyDescent="0.2">
      <c r="G81" s="71"/>
    </row>
    <row r="82" spans="1:31" ht="20.25" hidden="1" x14ac:dyDescent="0.3">
      <c r="A82" s="297" t="s">
        <v>231</v>
      </c>
      <c r="B82" s="116"/>
      <c r="C82" s="116"/>
      <c r="D82" s="116"/>
      <c r="E82" s="71"/>
      <c r="F82" s="71"/>
      <c r="H82" s="71"/>
      <c r="I82" s="71"/>
    </row>
    <row r="83" spans="1:31" hidden="1" x14ac:dyDescent="0.2">
      <c r="J83" s="71"/>
    </row>
    <row r="84" spans="1:31" hidden="1" x14ac:dyDescent="0.2">
      <c r="A84" s="298"/>
      <c r="B84" s="167">
        <f>D18</f>
        <v>2025</v>
      </c>
      <c r="C84" s="167">
        <f>B84+1</f>
        <v>2026</v>
      </c>
      <c r="D84" s="167">
        <f>C84+1</f>
        <v>2027</v>
      </c>
      <c r="E84" s="167">
        <f>D84+1</f>
        <v>2028</v>
      </c>
      <c r="F84" s="167">
        <f>E84+1</f>
        <v>2029</v>
      </c>
      <c r="G84" s="299">
        <f>F84+1</f>
        <v>2030</v>
      </c>
      <c r="H84" s="300"/>
      <c r="I84" s="300"/>
    </row>
    <row r="85" spans="1:31" hidden="1" x14ac:dyDescent="0.2">
      <c r="A85" s="107" t="s">
        <v>232</v>
      </c>
      <c r="B85" s="301">
        <f>G36</f>
        <v>55524</v>
      </c>
      <c r="C85" s="301">
        <f>B85</f>
        <v>55524</v>
      </c>
      <c r="D85" s="301">
        <f>C85</f>
        <v>55524</v>
      </c>
      <c r="E85" s="301">
        <f>D85</f>
        <v>55524</v>
      </c>
      <c r="F85" s="301">
        <f>E85</f>
        <v>55524</v>
      </c>
      <c r="G85" s="121">
        <f>F85</f>
        <v>55524</v>
      </c>
      <c r="H85" s="59"/>
      <c r="I85" s="59"/>
    </row>
    <row r="86" spans="1:31" hidden="1" x14ac:dyDescent="0.2">
      <c r="A86" s="107" t="s">
        <v>233</v>
      </c>
      <c r="B86" s="301">
        <f>F36</f>
        <v>87466.61</v>
      </c>
      <c r="C86" s="301" t="e">
        <f>($E$30-$G$30)*$C$23/100+($E$31-$G$31)*#REF!/100+(#REF!-#REF!)*#REF!/100+(#REF!-#REF!)*$C$24/100+($E$32-$G$32)*$C$23/100+($E$35-$G$35)*#REF!/100+($E$33-$G$33)*$C$24/100</f>
        <v>#REF!</v>
      </c>
      <c r="D86" s="301" t="e">
        <f>($E$30-2*$G$30)*$C$23/100+($E$31-2*$G$31)*#REF!/100+(#REF!-2*#REF!)*#REF!/100+(#REF!-2*#REF!)*$C$24/100+($E$32-2*$G$32)*$C$23/100+($E$35-2*$G$35)*#REF!/100+($E$33-2*$G$33)*$C$24/100</f>
        <v>#REF!</v>
      </c>
      <c r="E86" s="301" t="e">
        <f>($E$30-3*$G$30)*$C$23/100+($E$31-3*$G$31)*#REF!/100+(#REF!-3*#REF!)*#REF!/100+(#REF!-3*#REF!)*$C$24/100+($E$32-3*$G$32)*$C$23/100+($E$35-3*$G$35)*#REF!/100+($E$33-3*$G$33)*$C$24/100</f>
        <v>#REF!</v>
      </c>
      <c r="F86" s="301" t="e">
        <f>($E$30-4*$G$30)*$C$23/100+($E$31-4*$G$31)*#REF!/100+(#REF!-4*#REF!)*#REF!/100+(#REF!-4*#REF!)*$C$24/100+($E$32-4*$G$32)*$C$23/100+($E$35-4*$G$35)*#REF!/100+($E$33-4*$G$33)*$C$24/100</f>
        <v>#REF!</v>
      </c>
      <c r="G86" s="301" t="e">
        <f>($E$30-5*$G$30)*$C$23/100+($E$31-5*$G$31)*#REF!/100+(#REF!-5*#REF!)*#REF!/100+(#REF!-5*#REF!)*$C$24/100+($E$32-5*$G$32)*$C$23/100+($E$35-5*$G$35)*#REF!/100+($E$33-5*$G$33)*$C$24/100</f>
        <v>#REF!</v>
      </c>
      <c r="H86" s="59"/>
      <c r="I86" s="59"/>
    </row>
    <row r="87" spans="1:31" hidden="1" x14ac:dyDescent="0.2">
      <c r="A87" s="107"/>
      <c r="B87" s="301"/>
      <c r="C87" s="301"/>
      <c r="D87" s="301"/>
      <c r="E87" s="301"/>
      <c r="F87" s="301"/>
      <c r="G87" s="121"/>
      <c r="H87" s="59"/>
      <c r="I87" s="59"/>
      <c r="J87" t="s">
        <v>12</v>
      </c>
    </row>
    <row r="88" spans="1:31" hidden="1" x14ac:dyDescent="0.2">
      <c r="A88" s="107" t="s">
        <v>234</v>
      </c>
      <c r="B88" s="301">
        <f>H41</f>
        <v>35000</v>
      </c>
      <c r="C88" s="301">
        <f>B88*D97/100+B88</f>
        <v>36400</v>
      </c>
      <c r="D88" s="301">
        <f>(1+D97/100)*C88</f>
        <v>37856</v>
      </c>
      <c r="E88" s="301">
        <f>(1+D97/100)*D88</f>
        <v>39370.239999999998</v>
      </c>
      <c r="F88" s="301">
        <f>(1+D97/100)*E88</f>
        <v>40945.049599999998</v>
      </c>
      <c r="G88" s="121">
        <f>(1+D97/100)*F88</f>
        <v>42582.851583999996</v>
      </c>
      <c r="H88" s="59"/>
      <c r="I88" s="59"/>
      <c r="L88" t="s">
        <v>235</v>
      </c>
      <c r="M88" t="s">
        <v>236</v>
      </c>
      <c r="N88" s="294">
        <f>D96</f>
        <v>3</v>
      </c>
    </row>
    <row r="89" spans="1:31" hidden="1" x14ac:dyDescent="0.2">
      <c r="A89" s="107" t="s">
        <v>237</v>
      </c>
      <c r="B89" s="301">
        <v>0</v>
      </c>
      <c r="C89" s="301">
        <v>0</v>
      </c>
      <c r="D89" s="301">
        <v>0</v>
      </c>
      <c r="E89" s="301">
        <v>0</v>
      </c>
      <c r="F89" s="301">
        <v>0</v>
      </c>
      <c r="G89" s="158">
        <f>F75*0.5*0.015</f>
        <v>18375</v>
      </c>
      <c r="H89" s="59"/>
      <c r="I89" s="59"/>
      <c r="N89" s="294"/>
    </row>
    <row r="90" spans="1:31" hidden="1" x14ac:dyDescent="0.2">
      <c r="A90" s="138" t="s">
        <v>238</v>
      </c>
      <c r="B90" s="301">
        <f t="shared" ref="B90:G90" si="1">-(B86+B87)*0.3</f>
        <v>-26239.983</v>
      </c>
      <c r="C90" s="301" t="e">
        <f t="shared" si="1"/>
        <v>#REF!</v>
      </c>
      <c r="D90" s="301" t="e">
        <f t="shared" si="1"/>
        <v>#REF!</v>
      </c>
      <c r="E90" s="301" t="e">
        <f t="shared" si="1"/>
        <v>#REF!</v>
      </c>
      <c r="F90" s="301" t="e">
        <f t="shared" si="1"/>
        <v>#REF!</v>
      </c>
      <c r="G90" s="121" t="e">
        <f t="shared" si="1"/>
        <v>#REF!</v>
      </c>
      <c r="H90" s="59"/>
      <c r="I90" s="59"/>
      <c r="K90" s="302" t="s">
        <v>239</v>
      </c>
      <c r="L90" s="71">
        <f>D11+D13</f>
        <v>700000</v>
      </c>
    </row>
    <row r="91" spans="1:31" hidden="1" x14ac:dyDescent="0.2">
      <c r="A91" s="138" t="s">
        <v>240</v>
      </c>
      <c r="B91" s="301">
        <f t="shared" ref="B91:G91" si="2">SUM(B85:B90)</f>
        <v>151750.62699999998</v>
      </c>
      <c r="C91" s="301" t="e">
        <f t="shared" si="2"/>
        <v>#REF!</v>
      </c>
      <c r="D91" s="301" t="e">
        <f t="shared" si="2"/>
        <v>#REF!</v>
      </c>
      <c r="E91" s="301" t="e">
        <f t="shared" si="2"/>
        <v>#REF!</v>
      </c>
      <c r="F91" s="301" t="e">
        <f t="shared" si="2"/>
        <v>#REF!</v>
      </c>
      <c r="G91" s="121" t="e">
        <f t="shared" si="2"/>
        <v>#REF!</v>
      </c>
      <c r="H91" s="59"/>
      <c r="I91" s="59"/>
      <c r="K91">
        <v>2</v>
      </c>
      <c r="L91">
        <f>L90*(1+$N$88/100)</f>
        <v>721000</v>
      </c>
      <c r="AE91" s="71"/>
    </row>
    <row r="92" spans="1:31" hidden="1" x14ac:dyDescent="0.2">
      <c r="A92" s="138" t="s">
        <v>241</v>
      </c>
      <c r="B92" s="301">
        <f t="shared" ref="B92:G92" si="3">B91/12</f>
        <v>12645.885583333331</v>
      </c>
      <c r="C92" s="301" t="e">
        <f t="shared" si="3"/>
        <v>#REF!</v>
      </c>
      <c r="D92" s="301" t="e">
        <f t="shared" si="3"/>
        <v>#REF!</v>
      </c>
      <c r="E92" s="301" t="e">
        <f t="shared" si="3"/>
        <v>#REF!</v>
      </c>
      <c r="F92" s="301" t="e">
        <f t="shared" si="3"/>
        <v>#REF!</v>
      </c>
      <c r="G92" s="121" t="e">
        <f t="shared" si="3"/>
        <v>#REF!</v>
      </c>
      <c r="H92" s="59"/>
      <c r="I92" s="59"/>
      <c r="K92">
        <v>3</v>
      </c>
      <c r="L92">
        <f>L91*(1+$N$88/100)</f>
        <v>742630</v>
      </c>
    </row>
    <row r="93" spans="1:31" hidden="1" x14ac:dyDescent="0.2">
      <c r="A93" s="226" t="s">
        <v>242</v>
      </c>
      <c r="B93" s="303">
        <v>0</v>
      </c>
      <c r="C93" s="303" t="e">
        <f>-B92+C92</f>
        <v>#REF!</v>
      </c>
      <c r="D93" s="303" t="e">
        <f>-C92+D92</f>
        <v>#REF!</v>
      </c>
      <c r="E93" s="303" t="e">
        <f>-D92+E92</f>
        <v>#REF!</v>
      </c>
      <c r="F93" s="303" t="e">
        <f>-E92+F92</f>
        <v>#REF!</v>
      </c>
      <c r="G93" s="304" t="e">
        <f>-F92+G92</f>
        <v>#REF!</v>
      </c>
      <c r="H93" s="59"/>
      <c r="I93" s="59"/>
      <c r="K93">
        <v>4</v>
      </c>
      <c r="L93">
        <f>L92*(1+$N$88/100)</f>
        <v>764908.9</v>
      </c>
    </row>
    <row r="94" spans="1:31" hidden="1" x14ac:dyDescent="0.2">
      <c r="A94" s="187" t="s">
        <v>243</v>
      </c>
      <c r="B94" s="152">
        <f>B91/L90*100</f>
        <v>21.678660999999995</v>
      </c>
      <c r="C94" s="152" t="e">
        <f>C91/L91*100</f>
        <v>#REF!</v>
      </c>
      <c r="D94" s="152" t="e">
        <f>D91/L92*100</f>
        <v>#REF!</v>
      </c>
      <c r="E94" s="152" t="e">
        <f>E91/L93*100</f>
        <v>#REF!</v>
      </c>
      <c r="F94" s="152" t="e">
        <f>F91/L94*100</f>
        <v>#REF!</v>
      </c>
      <c r="G94" s="121" t="e">
        <f>G91/L94*100</f>
        <v>#REF!</v>
      </c>
      <c r="H94" s="59"/>
      <c r="I94" s="59"/>
      <c r="K94">
        <v>5</v>
      </c>
      <c r="L94" s="71">
        <f>L93*(1+$N$88/100)</f>
        <v>787856.16700000002</v>
      </c>
    </row>
    <row r="95" spans="1:31" hidden="1" x14ac:dyDescent="0.2">
      <c r="A95" s="71"/>
      <c r="B95" s="71"/>
      <c r="C95" s="71"/>
      <c r="D95" s="71"/>
      <c r="E95" s="71"/>
      <c r="F95" s="71"/>
      <c r="G95" s="71"/>
    </row>
    <row r="96" spans="1:31" hidden="1" x14ac:dyDescent="0.2">
      <c r="A96" s="305" t="s">
        <v>244</v>
      </c>
      <c r="C96" s="71"/>
      <c r="D96" s="306">
        <v>3</v>
      </c>
      <c r="E96" s="71"/>
      <c r="F96" s="71"/>
      <c r="G96" s="71"/>
      <c r="H96" s="71"/>
      <c r="I96" s="71"/>
    </row>
    <row r="97" spans="1:10" hidden="1" x14ac:dyDescent="0.2">
      <c r="A97" s="305" t="s">
        <v>245</v>
      </c>
      <c r="C97" s="71"/>
      <c r="D97" s="306">
        <v>4</v>
      </c>
      <c r="F97" s="71"/>
      <c r="G97" s="71"/>
      <c r="H97" s="71"/>
      <c r="I97" s="71"/>
      <c r="J97" s="71"/>
    </row>
    <row r="98" spans="1:10" hidden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</row>
    <row r="99" spans="1:10" hidden="1" x14ac:dyDescent="0.2">
      <c r="A99" s="71" t="s">
        <v>246</v>
      </c>
      <c r="B99" s="71"/>
      <c r="C99" s="71"/>
      <c r="D99" s="71"/>
      <c r="E99" s="71"/>
      <c r="F99" s="71"/>
      <c r="G99" s="71"/>
      <c r="H99" s="71"/>
      <c r="I99" s="71"/>
      <c r="J99" s="71"/>
    </row>
    <row r="100" spans="1:10" hidden="1" x14ac:dyDescent="0.2">
      <c r="A100" s="71" t="s">
        <v>247</v>
      </c>
      <c r="B100" s="71"/>
      <c r="C100" s="71"/>
      <c r="D100" s="71"/>
      <c r="E100" s="71"/>
      <c r="F100" s="71"/>
      <c r="G100" s="71"/>
      <c r="H100" s="71"/>
      <c r="I100" s="71"/>
      <c r="J100" s="71"/>
    </row>
    <row r="101" spans="1:10" hidden="1" x14ac:dyDescent="0.2">
      <c r="A101" s="71" t="s">
        <v>248</v>
      </c>
      <c r="B101" s="71"/>
      <c r="C101" s="71"/>
      <c r="D101" s="71"/>
      <c r="E101" s="71"/>
      <c r="F101" s="71"/>
      <c r="H101" s="71"/>
      <c r="I101" s="71"/>
      <c r="J101" s="71"/>
    </row>
    <row r="102" spans="1:10" hidden="1" x14ac:dyDescent="0.2">
      <c r="A102" s="307" t="str">
        <f>A59</f>
        <v>Rev. 2019-02-05 BP</v>
      </c>
      <c r="H102" s="292"/>
      <c r="I102" s="292"/>
      <c r="J102" s="71"/>
    </row>
    <row r="104" spans="1:10" x14ac:dyDescent="0.2">
      <c r="G104" s="71"/>
    </row>
    <row r="105" spans="1:10" x14ac:dyDescent="0.2">
      <c r="A105" s="71"/>
      <c r="B105" s="71"/>
      <c r="C105" s="71"/>
      <c r="D105" s="71"/>
      <c r="E105" s="71"/>
      <c r="F105" s="71"/>
      <c r="G105" s="71"/>
      <c r="H105" s="71"/>
      <c r="I105" s="71"/>
    </row>
    <row r="106" spans="1:10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</row>
    <row r="107" spans="1:10" x14ac:dyDescent="0.2">
      <c r="J107" s="71"/>
    </row>
    <row r="108" spans="1:10" x14ac:dyDescent="0.2">
      <c r="J108" s="71"/>
    </row>
  </sheetData>
  <pageMargins left="1" right="0.1701388888888889" top="0.50972222222222219" bottom="0.52013888888888893" header="0.51180555555555551" footer="0.51180555555555551"/>
  <pageSetup paperSize="9" firstPageNumber="0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2:V57"/>
  <sheetViews>
    <sheetView showGridLines="0" showZeros="0" workbookViewId="0">
      <selection activeCell="F4" sqref="F4"/>
    </sheetView>
  </sheetViews>
  <sheetFormatPr defaultRowHeight="12.75" x14ac:dyDescent="0.2"/>
  <cols>
    <col min="1" max="1" width="3.7109375" customWidth="1"/>
    <col min="2" max="5" width="4.7109375" customWidth="1"/>
    <col min="6" max="6" width="3.7109375" customWidth="1"/>
    <col min="7" max="9" width="4.7109375" customWidth="1"/>
    <col min="10" max="11" width="1.28515625" customWidth="1"/>
    <col min="12" max="14" width="4.7109375" customWidth="1"/>
    <col min="15" max="16" width="2.7109375" customWidth="1"/>
    <col min="17" max="17" width="4.7109375" customWidth="1"/>
    <col min="18" max="18" width="3.7109375" customWidth="1"/>
    <col min="19" max="21" width="4.7109375" customWidth="1"/>
    <col min="22" max="23" width="1.28515625" customWidth="1"/>
  </cols>
  <sheetData>
    <row r="2" spans="1:22" x14ac:dyDescent="0.2">
      <c r="M2" t="s">
        <v>290</v>
      </c>
    </row>
    <row r="3" spans="1:22" x14ac:dyDescent="0.2">
      <c r="M3" s="11" t="s">
        <v>5</v>
      </c>
    </row>
    <row r="4" spans="1:22" x14ac:dyDescent="0.2">
      <c r="M4" s="463">
        <f>'Kalkyl-Total'!I4</f>
        <v>45931</v>
      </c>
      <c r="N4" s="463"/>
      <c r="O4" s="463"/>
      <c r="P4" s="463"/>
    </row>
    <row r="5" spans="1:22" ht="6.75" customHeight="1" x14ac:dyDescent="0.2"/>
    <row r="6" spans="1:22" s="11" customFormat="1" ht="10.5" customHeight="1" x14ac:dyDescent="0.2">
      <c r="A6" s="322" t="s">
        <v>271</v>
      </c>
      <c r="B6" s="327"/>
      <c r="C6" s="327"/>
      <c r="D6" s="327"/>
      <c r="E6" s="327"/>
      <c r="F6" s="327"/>
      <c r="G6" s="327"/>
      <c r="H6" s="327"/>
      <c r="I6" s="327"/>
      <c r="J6" s="327"/>
      <c r="K6" s="322" t="s">
        <v>318</v>
      </c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8"/>
    </row>
    <row r="7" spans="1:22" s="11" customFormat="1" ht="16.5" customHeight="1" x14ac:dyDescent="0.2">
      <c r="A7" s="464">
        <f>'Kalkyl-Boende'!H25</f>
        <v>2776200</v>
      </c>
      <c r="B7" s="465"/>
      <c r="C7" s="465"/>
      <c r="D7" s="465"/>
      <c r="E7" s="465"/>
      <c r="F7" s="465"/>
      <c r="G7" s="465"/>
      <c r="H7" s="465"/>
      <c r="I7" s="465"/>
      <c r="J7" s="466"/>
      <c r="K7" s="464">
        <f>'Kalkyl-Boende'!H27</f>
        <v>3266200</v>
      </c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6"/>
    </row>
    <row r="8" spans="1:22" ht="6.75" customHeight="1" x14ac:dyDescent="0.2"/>
    <row r="9" spans="1:22" s="11" customFormat="1" ht="10.5" customHeight="1" x14ac:dyDescent="0.2">
      <c r="A9" s="430" t="s">
        <v>272</v>
      </c>
      <c r="B9" s="431"/>
      <c r="C9" s="431"/>
      <c r="D9" s="431"/>
      <c r="E9" s="431"/>
      <c r="F9" s="431"/>
      <c r="G9" s="431"/>
      <c r="H9" s="431"/>
      <c r="I9" s="431"/>
      <c r="J9" s="432"/>
      <c r="K9" s="430" t="s">
        <v>281</v>
      </c>
      <c r="L9" s="431"/>
      <c r="M9" s="431"/>
      <c r="N9" s="431"/>
      <c r="O9" s="431"/>
      <c r="P9" s="431"/>
      <c r="Q9" s="432"/>
      <c r="R9" s="430" t="s">
        <v>285</v>
      </c>
      <c r="S9" s="431"/>
      <c r="T9" s="431"/>
      <c r="U9" s="431"/>
      <c r="V9" s="432"/>
    </row>
    <row r="10" spans="1:22" x14ac:dyDescent="0.2">
      <c r="A10" s="434" t="s">
        <v>307</v>
      </c>
      <c r="B10" s="428"/>
      <c r="C10" s="428"/>
      <c r="D10" s="428"/>
      <c r="E10" s="428"/>
      <c r="F10" s="428"/>
      <c r="G10" s="428"/>
      <c r="H10" s="428"/>
      <c r="I10" s="428"/>
      <c r="J10" s="429"/>
      <c r="K10" s="427"/>
      <c r="L10" s="428"/>
      <c r="M10" s="428"/>
      <c r="N10" s="428"/>
      <c r="O10" s="428"/>
      <c r="P10" s="428"/>
      <c r="Q10" s="429"/>
      <c r="R10" s="427" t="s">
        <v>308</v>
      </c>
      <c r="S10" s="428"/>
      <c r="T10" s="428"/>
      <c r="U10" s="428"/>
      <c r="V10" s="429"/>
    </row>
    <row r="11" spans="1:22" s="11" customFormat="1" x14ac:dyDescent="0.2">
      <c r="A11" s="430" t="s">
        <v>273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2"/>
      <c r="R11" s="430" t="s">
        <v>286</v>
      </c>
      <c r="S11" s="431"/>
      <c r="T11" s="431"/>
      <c r="U11" s="431"/>
      <c r="V11" s="432"/>
    </row>
    <row r="12" spans="1:22" x14ac:dyDescent="0.2">
      <c r="A12" s="427" t="s">
        <v>309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9"/>
      <c r="R12" s="427" t="s">
        <v>311</v>
      </c>
      <c r="S12" s="428"/>
      <c r="T12" s="428"/>
      <c r="U12" s="428"/>
      <c r="V12" s="429"/>
    </row>
    <row r="13" spans="1:22" s="11" customFormat="1" x14ac:dyDescent="0.2">
      <c r="A13" s="430" t="s">
        <v>274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2"/>
      <c r="R13" s="430" t="s">
        <v>287</v>
      </c>
      <c r="S13" s="431"/>
      <c r="T13" s="431"/>
      <c r="U13" s="431"/>
      <c r="V13" s="432"/>
    </row>
    <row r="14" spans="1:22" x14ac:dyDescent="0.2">
      <c r="A14" s="427" t="s">
        <v>310</v>
      </c>
      <c r="B14" s="428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9"/>
      <c r="R14" s="427" t="s">
        <v>312</v>
      </c>
      <c r="S14" s="428"/>
      <c r="T14" s="428"/>
      <c r="U14" s="428"/>
      <c r="V14" s="429"/>
    </row>
    <row r="15" spans="1:22" s="11" customFormat="1" x14ac:dyDescent="0.2">
      <c r="A15" s="430" t="s">
        <v>275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2"/>
      <c r="R15" s="430" t="s">
        <v>288</v>
      </c>
      <c r="S15" s="431"/>
      <c r="T15" s="431"/>
      <c r="U15" s="431"/>
      <c r="V15" s="432"/>
    </row>
    <row r="16" spans="1:22" x14ac:dyDescent="0.2">
      <c r="A16" s="427" t="s">
        <v>332</v>
      </c>
      <c r="B16" s="428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9"/>
      <c r="R16" s="427"/>
      <c r="S16" s="428"/>
      <c r="T16" s="428"/>
      <c r="U16" s="428"/>
      <c r="V16" s="429"/>
    </row>
    <row r="17" spans="1:22" s="11" customFormat="1" x14ac:dyDescent="0.2">
      <c r="A17" s="430" t="s">
        <v>276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2"/>
      <c r="R17" s="430" t="s">
        <v>289</v>
      </c>
      <c r="S17" s="431"/>
      <c r="T17" s="431"/>
      <c r="U17" s="431"/>
      <c r="V17" s="432"/>
    </row>
    <row r="18" spans="1:22" s="11" customFormat="1" x14ac:dyDescent="0.2">
      <c r="A18" s="433"/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9"/>
      <c r="R18" s="433"/>
      <c r="S18" s="428"/>
      <c r="T18" s="428"/>
      <c r="U18" s="428"/>
      <c r="V18" s="429"/>
    </row>
    <row r="19" spans="1:22" ht="6.75" customHeight="1" x14ac:dyDescent="0.2"/>
    <row r="20" spans="1:22" ht="19.5" customHeight="1" x14ac:dyDescent="0.2">
      <c r="A20" s="330"/>
      <c r="B20" t="s">
        <v>277</v>
      </c>
      <c r="F20" s="330"/>
      <c r="G20" t="s">
        <v>280</v>
      </c>
    </row>
    <row r="21" spans="1:22" x14ac:dyDescent="0.2">
      <c r="A21" s="430" t="s">
        <v>272</v>
      </c>
      <c r="B21" s="431"/>
      <c r="C21" s="431"/>
      <c r="D21" s="431"/>
      <c r="E21" s="431"/>
      <c r="F21" s="431"/>
      <c r="G21" s="431"/>
      <c r="H21" s="431"/>
      <c r="I21" s="431"/>
      <c r="J21" s="432"/>
      <c r="K21" s="430" t="s">
        <v>281</v>
      </c>
      <c r="L21" s="431"/>
      <c r="M21" s="431"/>
      <c r="N21" s="431"/>
      <c r="O21" s="431"/>
      <c r="P21" s="431"/>
      <c r="Q21" s="432"/>
      <c r="R21" s="430" t="s">
        <v>285</v>
      </c>
      <c r="S21" s="431"/>
      <c r="T21" s="431"/>
      <c r="U21" s="431"/>
      <c r="V21" s="432"/>
    </row>
    <row r="22" spans="1:22" x14ac:dyDescent="0.2">
      <c r="A22" s="434" t="s">
        <v>313</v>
      </c>
      <c r="B22" s="428"/>
      <c r="C22" s="428"/>
      <c r="D22" s="428"/>
      <c r="E22" s="428"/>
      <c r="F22" s="428"/>
      <c r="G22" s="428"/>
      <c r="H22" s="428"/>
      <c r="I22" s="428"/>
      <c r="J22" s="429"/>
      <c r="K22" s="427"/>
      <c r="L22" s="428"/>
      <c r="M22" s="428"/>
      <c r="N22" s="428"/>
      <c r="O22" s="428"/>
      <c r="P22" s="428"/>
      <c r="Q22" s="429"/>
      <c r="R22" s="427" t="s">
        <v>314</v>
      </c>
      <c r="S22" s="428"/>
      <c r="T22" s="428"/>
      <c r="U22" s="428"/>
      <c r="V22" s="429"/>
    </row>
    <row r="23" spans="1:22" x14ac:dyDescent="0.2">
      <c r="A23" s="430" t="s">
        <v>273</v>
      </c>
      <c r="B23" s="431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2"/>
      <c r="R23" s="430" t="s">
        <v>286</v>
      </c>
      <c r="S23" s="431"/>
      <c r="T23" s="431"/>
      <c r="U23" s="431"/>
      <c r="V23" s="432"/>
    </row>
    <row r="24" spans="1:22" x14ac:dyDescent="0.2">
      <c r="A24" s="427" t="s">
        <v>309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9"/>
      <c r="R24" s="427" t="s">
        <v>315</v>
      </c>
      <c r="S24" s="428"/>
      <c r="T24" s="428"/>
      <c r="U24" s="428"/>
      <c r="V24" s="429"/>
    </row>
    <row r="25" spans="1:22" x14ac:dyDescent="0.2">
      <c r="A25" s="430" t="s">
        <v>274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2"/>
      <c r="R25" s="430" t="s">
        <v>287</v>
      </c>
      <c r="S25" s="431"/>
      <c r="T25" s="431"/>
      <c r="U25" s="431"/>
      <c r="V25" s="432"/>
    </row>
    <row r="26" spans="1:22" x14ac:dyDescent="0.2">
      <c r="A26" s="427" t="s">
        <v>310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9"/>
      <c r="R26" s="427" t="s">
        <v>316</v>
      </c>
      <c r="S26" s="428"/>
      <c r="T26" s="428"/>
      <c r="U26" s="428"/>
      <c r="V26" s="429"/>
    </row>
    <row r="27" spans="1:22" x14ac:dyDescent="0.2">
      <c r="A27" s="430" t="s">
        <v>275</v>
      </c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2"/>
      <c r="R27" s="430" t="s">
        <v>288</v>
      </c>
      <c r="S27" s="431"/>
      <c r="T27" s="431"/>
      <c r="U27" s="431"/>
      <c r="V27" s="432"/>
    </row>
    <row r="28" spans="1:22" x14ac:dyDescent="0.2">
      <c r="A28" s="427" t="s">
        <v>333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9"/>
      <c r="R28" s="427"/>
      <c r="S28" s="428"/>
      <c r="T28" s="428"/>
      <c r="U28" s="428"/>
      <c r="V28" s="429"/>
    </row>
    <row r="29" spans="1:22" x14ac:dyDescent="0.2">
      <c r="A29" s="430" t="s">
        <v>276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2"/>
      <c r="R29" s="430" t="s">
        <v>289</v>
      </c>
      <c r="S29" s="431"/>
      <c r="T29" s="431"/>
      <c r="U29" s="431"/>
      <c r="V29" s="432"/>
    </row>
    <row r="30" spans="1:22" x14ac:dyDescent="0.2">
      <c r="A30" s="433"/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9"/>
      <c r="R30" s="433"/>
      <c r="S30" s="428"/>
      <c r="T30" s="428"/>
      <c r="U30" s="428"/>
      <c r="V30" s="429"/>
    </row>
    <row r="31" spans="1:22" ht="6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">
      <c r="A32" s="430" t="s">
        <v>278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2"/>
    </row>
    <row r="33" spans="1:22" x14ac:dyDescent="0.2">
      <c r="A33" s="427" t="s">
        <v>317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9"/>
    </row>
    <row r="34" spans="1:22" ht="6.75" customHeight="1" x14ac:dyDescent="0.2"/>
    <row r="35" spans="1:22" x14ac:dyDescent="0.2">
      <c r="A35" s="430" t="s">
        <v>4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2"/>
    </row>
    <row r="36" spans="1:22" x14ac:dyDescent="0.2">
      <c r="A36" s="427"/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9"/>
    </row>
    <row r="37" spans="1:22" x14ac:dyDescent="0.2">
      <c r="A37" s="430" t="s">
        <v>279</v>
      </c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2"/>
    </row>
    <row r="38" spans="1:22" ht="38.25" customHeight="1" x14ac:dyDescent="0.2">
      <c r="A38" s="447"/>
      <c r="B38" s="448"/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448"/>
      <c r="U38" s="448"/>
      <c r="V38" s="449"/>
    </row>
    <row r="39" spans="1:22" s="123" customFormat="1" x14ac:dyDescent="0.2">
      <c r="A39" s="123" t="s">
        <v>282</v>
      </c>
      <c r="E39" s="123" t="s">
        <v>283</v>
      </c>
      <c r="L39" s="123" t="s">
        <v>284</v>
      </c>
      <c r="R39" s="123" t="s">
        <v>283</v>
      </c>
    </row>
    <row r="40" spans="1:22" x14ac:dyDescent="0.2">
      <c r="A40" s="329" t="s">
        <v>291</v>
      </c>
      <c r="B40" s="327"/>
      <c r="C40" s="327"/>
      <c r="D40" s="327"/>
      <c r="E40" s="329"/>
      <c r="F40" s="441">
        <f>IF('Kalkyl-Boende'!D11&gt;0,'Kalkyl-Boende'!D11/12,0)</f>
        <v>58333.333333333336</v>
      </c>
      <c r="G40" s="442"/>
      <c r="H40" s="442"/>
      <c r="I40" s="442"/>
      <c r="J40" s="443"/>
      <c r="L40" s="467" t="s">
        <v>299</v>
      </c>
      <c r="M40" s="431"/>
      <c r="N40" s="431"/>
      <c r="O40" s="431"/>
      <c r="P40" s="431"/>
      <c r="Q40" s="432"/>
      <c r="R40" s="441">
        <f>IF('Kalkyl-Drift'!I32&gt;0,'Kalkyl-Drift'!I32/12,0)</f>
        <v>2183.3333333333335</v>
      </c>
      <c r="S40" s="442"/>
      <c r="T40" s="442"/>
      <c r="U40" s="442"/>
      <c r="V40" s="443"/>
    </row>
    <row r="41" spans="1:22" x14ac:dyDescent="0.2">
      <c r="A41" s="326" t="s">
        <v>292</v>
      </c>
      <c r="B41" s="325"/>
      <c r="C41" s="325"/>
      <c r="D41" s="325"/>
      <c r="E41" s="325"/>
      <c r="F41" s="444"/>
      <c r="G41" s="445"/>
      <c r="H41" s="445"/>
      <c r="I41" s="445"/>
      <c r="J41" s="446"/>
      <c r="L41" s="468" t="s">
        <v>300</v>
      </c>
      <c r="M41" s="469"/>
      <c r="N41" s="469"/>
      <c r="O41" s="469"/>
      <c r="P41" s="469"/>
      <c r="Q41" s="470"/>
      <c r="R41" s="444"/>
      <c r="S41" s="445"/>
      <c r="T41" s="445"/>
      <c r="U41" s="445"/>
      <c r="V41" s="446"/>
    </row>
    <row r="42" spans="1:22" x14ac:dyDescent="0.2">
      <c r="A42" s="322" t="s">
        <v>293</v>
      </c>
      <c r="B42" s="327"/>
      <c r="C42" s="327"/>
      <c r="D42" s="327"/>
      <c r="E42" s="329"/>
      <c r="F42" s="450"/>
      <c r="G42" s="451"/>
      <c r="H42" s="451"/>
      <c r="I42" s="451"/>
      <c r="J42" s="452"/>
      <c r="L42" s="435" t="s">
        <v>301</v>
      </c>
      <c r="M42" s="436"/>
      <c r="N42" s="436"/>
      <c r="O42" s="436"/>
      <c r="P42" s="436"/>
      <c r="Q42" s="437"/>
      <c r="R42" s="441">
        <f>IF('Kalkyl-Boende'!Z45&gt;0,'Kalkyl-Boende'!Z45/12,0)</f>
        <v>20016.776249999999</v>
      </c>
      <c r="S42" s="442"/>
      <c r="T42" s="442"/>
      <c r="U42" s="442"/>
      <c r="V42" s="443"/>
    </row>
    <row r="43" spans="1:22" x14ac:dyDescent="0.2">
      <c r="A43" s="326"/>
      <c r="B43" s="325"/>
      <c r="C43" s="325"/>
      <c r="D43" s="325"/>
      <c r="E43" s="325"/>
      <c r="F43" s="453"/>
      <c r="G43" s="454"/>
      <c r="H43" s="454"/>
      <c r="I43" s="454"/>
      <c r="J43" s="455"/>
      <c r="L43" s="438"/>
      <c r="M43" s="439"/>
      <c r="N43" s="439"/>
      <c r="O43" s="439"/>
      <c r="P43" s="439"/>
      <c r="Q43" s="440"/>
      <c r="R43" s="444"/>
      <c r="S43" s="445"/>
      <c r="T43" s="445"/>
      <c r="U43" s="445"/>
      <c r="V43" s="446"/>
    </row>
    <row r="44" spans="1:22" x14ac:dyDescent="0.2">
      <c r="A44" s="329" t="s">
        <v>291</v>
      </c>
      <c r="B44" s="327"/>
      <c r="C44" s="327"/>
      <c r="D44" s="327"/>
      <c r="E44" s="329"/>
      <c r="F44" s="441">
        <f>IF('Kalkyl-Boende'!D13&gt;0,'Kalkyl-Boende'!D13/12,0)</f>
        <v>0</v>
      </c>
      <c r="G44" s="442"/>
      <c r="H44" s="442"/>
      <c r="I44" s="442"/>
      <c r="J44" s="443"/>
      <c r="L44" s="322" t="s">
        <v>75</v>
      </c>
      <c r="M44" s="324"/>
      <c r="N44" s="322" t="s">
        <v>302</v>
      </c>
      <c r="O44" s="324"/>
      <c r="P44" s="323" t="s">
        <v>303</v>
      </c>
      <c r="Q44" s="323"/>
      <c r="R44" s="450"/>
      <c r="S44" s="451"/>
      <c r="T44" s="451"/>
      <c r="U44" s="451"/>
      <c r="V44" s="452"/>
    </row>
    <row r="45" spans="1:22" x14ac:dyDescent="0.2">
      <c r="A45" s="326" t="s">
        <v>294</v>
      </c>
      <c r="B45" s="325"/>
      <c r="C45" s="325"/>
      <c r="D45" s="325"/>
      <c r="E45" s="325"/>
      <c r="F45" s="444"/>
      <c r="G45" s="445"/>
      <c r="H45" s="445"/>
      <c r="I45" s="445"/>
      <c r="J45" s="446"/>
      <c r="L45" s="461">
        <f>'Kalkyl-Boende'!F11</f>
        <v>0</v>
      </c>
      <c r="M45" s="462"/>
      <c r="N45" s="427"/>
      <c r="O45" s="429"/>
      <c r="P45" s="427"/>
      <c r="Q45" s="429"/>
      <c r="R45" s="453"/>
      <c r="S45" s="454"/>
      <c r="T45" s="454"/>
      <c r="U45" s="454"/>
      <c r="V45" s="455"/>
    </row>
    <row r="46" spans="1:22" x14ac:dyDescent="0.2">
      <c r="A46" s="322" t="s">
        <v>293</v>
      </c>
      <c r="B46" s="327"/>
      <c r="C46" s="327"/>
      <c r="D46" s="328"/>
      <c r="E46" s="329"/>
      <c r="F46" s="450"/>
      <c r="G46" s="451"/>
      <c r="H46" s="451"/>
      <c r="I46" s="451"/>
      <c r="J46" s="452"/>
      <c r="L46" s="435" t="s">
        <v>304</v>
      </c>
      <c r="M46" s="436"/>
      <c r="N46" s="436"/>
      <c r="O46" s="436"/>
      <c r="P46" s="436"/>
      <c r="Q46" s="437"/>
      <c r="R46" s="441"/>
      <c r="S46" s="442"/>
      <c r="T46" s="442"/>
      <c r="U46" s="442"/>
      <c r="V46" s="443"/>
    </row>
    <row r="47" spans="1:22" x14ac:dyDescent="0.2">
      <c r="A47" s="326"/>
      <c r="B47" s="325"/>
      <c r="C47" s="325"/>
      <c r="D47" s="325"/>
      <c r="E47" s="325"/>
      <c r="F47" s="453"/>
      <c r="G47" s="454"/>
      <c r="H47" s="454"/>
      <c r="I47" s="454"/>
      <c r="J47" s="455"/>
      <c r="L47" s="438"/>
      <c r="M47" s="439"/>
      <c r="N47" s="439"/>
      <c r="O47" s="439"/>
      <c r="P47" s="439"/>
      <c r="Q47" s="440"/>
      <c r="R47" s="444"/>
      <c r="S47" s="445"/>
      <c r="T47" s="445"/>
      <c r="U47" s="445"/>
      <c r="V47" s="446"/>
    </row>
    <row r="48" spans="1:22" x14ac:dyDescent="0.2">
      <c r="A48" s="435" t="s">
        <v>295</v>
      </c>
      <c r="B48" s="436"/>
      <c r="C48" s="436"/>
      <c r="D48" s="436"/>
      <c r="E48" s="437"/>
      <c r="F48" s="441">
        <f>'Kalkyl-Boende'!R54</f>
        <v>0</v>
      </c>
      <c r="G48" s="456"/>
      <c r="H48" s="456"/>
      <c r="I48" s="456"/>
      <c r="J48" s="457"/>
      <c r="L48" s="435" t="s">
        <v>305</v>
      </c>
      <c r="M48" s="436"/>
      <c r="N48" s="436"/>
      <c r="O48" s="436"/>
      <c r="P48" s="436"/>
      <c r="Q48" s="437"/>
      <c r="R48" s="441"/>
      <c r="S48" s="442"/>
      <c r="T48" s="442"/>
      <c r="U48" s="442"/>
      <c r="V48" s="443"/>
    </row>
    <row r="49" spans="1:22" x14ac:dyDescent="0.2">
      <c r="A49" s="438"/>
      <c r="B49" s="439"/>
      <c r="C49" s="439"/>
      <c r="D49" s="439"/>
      <c r="E49" s="440"/>
      <c r="F49" s="458"/>
      <c r="G49" s="459"/>
      <c r="H49" s="459"/>
      <c r="I49" s="459"/>
      <c r="J49" s="460"/>
      <c r="L49" s="438" t="s">
        <v>306</v>
      </c>
      <c r="M49" s="439"/>
      <c r="N49" s="439"/>
      <c r="O49" s="439"/>
      <c r="P49" s="439"/>
      <c r="Q49" s="440"/>
      <c r="R49" s="444"/>
      <c r="S49" s="445"/>
      <c r="T49" s="445"/>
      <c r="U49" s="445"/>
      <c r="V49" s="446"/>
    </row>
    <row r="50" spans="1:22" x14ac:dyDescent="0.2">
      <c r="A50" s="435" t="s">
        <v>296</v>
      </c>
      <c r="B50" s="436"/>
      <c r="C50" s="436"/>
      <c r="D50" s="436"/>
      <c r="E50" s="437"/>
      <c r="F50" s="441"/>
      <c r="G50" s="442"/>
      <c r="H50" s="442"/>
      <c r="I50" s="442"/>
      <c r="J50" s="443"/>
      <c r="L50" s="477"/>
      <c r="M50" s="456"/>
      <c r="N50" s="456"/>
      <c r="O50" s="456"/>
      <c r="P50" s="456"/>
      <c r="Q50" s="457"/>
      <c r="R50" s="477"/>
      <c r="S50" s="456"/>
      <c r="T50" s="456"/>
      <c r="U50" s="456"/>
      <c r="V50" s="457"/>
    </row>
    <row r="51" spans="1:22" x14ac:dyDescent="0.2">
      <c r="A51" s="438"/>
      <c r="B51" s="439"/>
      <c r="C51" s="439"/>
      <c r="D51" s="439"/>
      <c r="E51" s="440"/>
      <c r="F51" s="444"/>
      <c r="G51" s="445"/>
      <c r="H51" s="445"/>
      <c r="I51" s="445"/>
      <c r="J51" s="446"/>
      <c r="L51" s="458"/>
      <c r="M51" s="459"/>
      <c r="N51" s="459"/>
      <c r="O51" s="459"/>
      <c r="P51" s="459"/>
      <c r="Q51" s="460"/>
      <c r="R51" s="458"/>
      <c r="S51" s="459"/>
      <c r="T51" s="459"/>
      <c r="U51" s="459"/>
      <c r="V51" s="460"/>
    </row>
    <row r="52" spans="1:22" x14ac:dyDescent="0.2">
      <c r="A52" s="477"/>
      <c r="B52" s="456"/>
      <c r="C52" s="456"/>
      <c r="D52" s="456"/>
      <c r="E52" s="457"/>
      <c r="F52" s="477"/>
      <c r="G52" s="456"/>
      <c r="H52" s="456"/>
      <c r="I52" s="456"/>
      <c r="J52" s="457"/>
      <c r="L52" s="477"/>
      <c r="M52" s="456"/>
      <c r="N52" s="456"/>
      <c r="O52" s="456"/>
      <c r="P52" s="456"/>
      <c r="Q52" s="457"/>
      <c r="R52" s="477"/>
      <c r="S52" s="456"/>
      <c r="T52" s="456"/>
      <c r="U52" s="456"/>
      <c r="V52" s="457"/>
    </row>
    <row r="53" spans="1:22" x14ac:dyDescent="0.2">
      <c r="A53" s="458"/>
      <c r="B53" s="459"/>
      <c r="C53" s="459"/>
      <c r="D53" s="459"/>
      <c r="E53" s="460"/>
      <c r="F53" s="458"/>
      <c r="G53" s="459"/>
      <c r="H53" s="459"/>
      <c r="I53" s="459"/>
      <c r="J53" s="460"/>
      <c r="L53" s="458"/>
      <c r="M53" s="459"/>
      <c r="N53" s="459"/>
      <c r="O53" s="459"/>
      <c r="P53" s="459"/>
      <c r="Q53" s="460"/>
      <c r="R53" s="458"/>
      <c r="S53" s="459"/>
      <c r="T53" s="459"/>
      <c r="U53" s="459"/>
      <c r="V53" s="460"/>
    </row>
    <row r="54" spans="1:22" x14ac:dyDescent="0.2">
      <c r="A54" s="477"/>
      <c r="B54" s="456"/>
      <c r="C54" s="456"/>
      <c r="D54" s="456"/>
      <c r="E54" s="457"/>
      <c r="F54" s="477"/>
      <c r="G54" s="456"/>
      <c r="H54" s="456"/>
      <c r="I54" s="456"/>
      <c r="J54" s="457"/>
      <c r="L54" s="477"/>
      <c r="M54" s="456"/>
      <c r="N54" s="456"/>
      <c r="O54" s="456"/>
      <c r="P54" s="456"/>
      <c r="Q54" s="457"/>
      <c r="R54" s="477"/>
      <c r="S54" s="456"/>
      <c r="T54" s="456"/>
      <c r="U54" s="456"/>
      <c r="V54" s="457"/>
    </row>
    <row r="55" spans="1:22" ht="13.5" thickBot="1" x14ac:dyDescent="0.25">
      <c r="A55" s="458"/>
      <c r="B55" s="459"/>
      <c r="C55" s="459"/>
      <c r="D55" s="459"/>
      <c r="E55" s="460"/>
      <c r="F55" s="458"/>
      <c r="G55" s="459"/>
      <c r="H55" s="459"/>
      <c r="I55" s="459"/>
      <c r="J55" s="460"/>
      <c r="L55" s="458"/>
      <c r="M55" s="459"/>
      <c r="N55" s="459"/>
      <c r="O55" s="459"/>
      <c r="P55" s="459"/>
      <c r="Q55" s="460"/>
      <c r="R55" s="458"/>
      <c r="S55" s="459"/>
      <c r="T55" s="459"/>
      <c r="U55" s="459"/>
      <c r="V55" s="460"/>
    </row>
    <row r="56" spans="1:22" x14ac:dyDescent="0.2">
      <c r="A56" s="471" t="s">
        <v>297</v>
      </c>
      <c r="B56" s="472"/>
      <c r="C56" s="472"/>
      <c r="D56" s="472"/>
      <c r="E56" s="472"/>
      <c r="F56" s="478">
        <f>SUM(F40+F44+F48+F50+F52+F54)</f>
        <v>58333.333333333336</v>
      </c>
      <c r="G56" s="479"/>
      <c r="H56" s="479"/>
      <c r="I56" s="479"/>
      <c r="J56" s="480"/>
      <c r="L56" s="471" t="s">
        <v>298</v>
      </c>
      <c r="M56" s="436"/>
      <c r="N56" s="436"/>
      <c r="O56" s="436"/>
      <c r="P56" s="436"/>
      <c r="Q56" s="475"/>
      <c r="R56" s="478">
        <f>SUM(R40+R42+R46+R50+R52+R54)</f>
        <v>22200.109583333331</v>
      </c>
      <c r="S56" s="479"/>
      <c r="T56" s="479"/>
      <c r="U56" s="479"/>
      <c r="V56" s="480"/>
    </row>
    <row r="57" spans="1:22" ht="13.5" thickBot="1" x14ac:dyDescent="0.25">
      <c r="A57" s="473"/>
      <c r="B57" s="474"/>
      <c r="C57" s="474"/>
      <c r="D57" s="474"/>
      <c r="E57" s="474"/>
      <c r="F57" s="481"/>
      <c r="G57" s="482"/>
      <c r="H57" s="482"/>
      <c r="I57" s="482"/>
      <c r="J57" s="483"/>
      <c r="L57" s="438"/>
      <c r="M57" s="439"/>
      <c r="N57" s="439"/>
      <c r="O57" s="439"/>
      <c r="P57" s="439"/>
      <c r="Q57" s="476"/>
      <c r="R57" s="481"/>
      <c r="S57" s="482"/>
      <c r="T57" s="482"/>
      <c r="U57" s="482"/>
      <c r="V57" s="483"/>
    </row>
  </sheetData>
  <sheetProtection password="C74E" sheet="1"/>
  <mergeCells count="89">
    <mergeCell ref="A56:E57"/>
    <mergeCell ref="L56:Q57"/>
    <mergeCell ref="A54:E55"/>
    <mergeCell ref="R50:V51"/>
    <mergeCell ref="L52:Q53"/>
    <mergeCell ref="L50:Q51"/>
    <mergeCell ref="R54:V55"/>
    <mergeCell ref="L54:Q55"/>
    <mergeCell ref="R52:V53"/>
    <mergeCell ref="A50:E51"/>
    <mergeCell ref="A52:E53"/>
    <mergeCell ref="R56:V57"/>
    <mergeCell ref="F56:J57"/>
    <mergeCell ref="F54:J55"/>
    <mergeCell ref="F50:J51"/>
    <mergeCell ref="F52:J53"/>
    <mergeCell ref="A7:J7"/>
    <mergeCell ref="L48:Q48"/>
    <mergeCell ref="A32:V32"/>
    <mergeCell ref="A26:Q26"/>
    <mergeCell ref="L42:Q43"/>
    <mergeCell ref="L46:Q47"/>
    <mergeCell ref="A35:V35"/>
    <mergeCell ref="A14:Q14"/>
    <mergeCell ref="A11:Q11"/>
    <mergeCell ref="A12:Q12"/>
    <mergeCell ref="R12:V12"/>
    <mergeCell ref="R13:V13"/>
    <mergeCell ref="R14:V14"/>
    <mergeCell ref="A15:Q15"/>
    <mergeCell ref="K22:Q22"/>
    <mergeCell ref="A23:Q23"/>
    <mergeCell ref="M4:P4"/>
    <mergeCell ref="K7:V7"/>
    <mergeCell ref="A16:Q16"/>
    <mergeCell ref="F40:J41"/>
    <mergeCell ref="N45:O45"/>
    <mergeCell ref="R23:V23"/>
    <mergeCell ref="A36:V36"/>
    <mergeCell ref="R42:V43"/>
    <mergeCell ref="R44:V45"/>
    <mergeCell ref="A37:V37"/>
    <mergeCell ref="R40:V41"/>
    <mergeCell ref="L40:Q40"/>
    <mergeCell ref="L41:Q41"/>
    <mergeCell ref="F42:J43"/>
    <mergeCell ref="R17:V17"/>
    <mergeCell ref="R15:V15"/>
    <mergeCell ref="A48:E49"/>
    <mergeCell ref="F44:J45"/>
    <mergeCell ref="A33:V33"/>
    <mergeCell ref="A38:V38"/>
    <mergeCell ref="R26:V26"/>
    <mergeCell ref="A28:Q28"/>
    <mergeCell ref="R28:V28"/>
    <mergeCell ref="F46:J47"/>
    <mergeCell ref="F48:J49"/>
    <mergeCell ref="R46:V47"/>
    <mergeCell ref="R48:V49"/>
    <mergeCell ref="L45:M45"/>
    <mergeCell ref="P45:Q45"/>
    <mergeCell ref="L49:Q49"/>
    <mergeCell ref="A30:Q30"/>
    <mergeCell ref="R30:V30"/>
    <mergeCell ref="A21:J21"/>
    <mergeCell ref="K21:Q21"/>
    <mergeCell ref="R21:V21"/>
    <mergeCell ref="A22:J22"/>
    <mergeCell ref="R22:V22"/>
    <mergeCell ref="R29:V29"/>
    <mergeCell ref="A29:Q29"/>
    <mergeCell ref="R24:V24"/>
    <mergeCell ref="A27:Q27"/>
    <mergeCell ref="R27:V27"/>
    <mergeCell ref="R25:V25"/>
    <mergeCell ref="A24:Q24"/>
    <mergeCell ref="A25:Q25"/>
    <mergeCell ref="R16:V16"/>
    <mergeCell ref="A17:Q17"/>
    <mergeCell ref="A18:Q18"/>
    <mergeCell ref="K9:Q9"/>
    <mergeCell ref="A10:J10"/>
    <mergeCell ref="R10:V10"/>
    <mergeCell ref="K10:Q10"/>
    <mergeCell ref="A13:Q13"/>
    <mergeCell ref="R9:V9"/>
    <mergeCell ref="R11:V11"/>
    <mergeCell ref="A9:J9"/>
    <mergeCell ref="R18:V1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I24"/>
  <sheetViews>
    <sheetView workbookViewId="0">
      <selection activeCell="G13" sqref="G13"/>
    </sheetView>
  </sheetViews>
  <sheetFormatPr defaultRowHeight="15" x14ac:dyDescent="0.2"/>
  <cols>
    <col min="1" max="1" width="9.140625" style="116"/>
    <col min="2" max="2" width="0.5703125" style="116" customWidth="1"/>
    <col min="3" max="3" width="11.42578125" style="116" bestFit="1" customWidth="1"/>
    <col min="4" max="5" width="9.140625" style="116"/>
    <col min="6" max="6" width="11.5703125" style="116" customWidth="1"/>
    <col min="7" max="7" width="15.5703125" style="116" customWidth="1"/>
    <col min="8" max="8" width="11.140625" style="116" customWidth="1"/>
    <col min="9" max="9" width="10" style="116" bestFit="1" customWidth="1"/>
    <col min="10" max="16384" width="9.140625" style="116"/>
  </cols>
  <sheetData>
    <row r="2" spans="3:9" x14ac:dyDescent="0.2">
      <c r="E2" s="116" t="s">
        <v>128</v>
      </c>
      <c r="G2" s="353">
        <f>'Kalkyl-Boende'!H27</f>
        <v>3266200</v>
      </c>
    </row>
    <row r="3" spans="3:9" x14ac:dyDescent="0.2">
      <c r="E3" s="116" t="s">
        <v>359</v>
      </c>
      <c r="G3" s="353">
        <f>'Kalkyl-Boende'!H23</f>
        <v>3266200</v>
      </c>
    </row>
    <row r="4" spans="3:9" x14ac:dyDescent="0.2">
      <c r="E4" s="116" t="s">
        <v>346</v>
      </c>
      <c r="G4" s="353">
        <f>'Kalkyl-Boende'!H24</f>
        <v>490000</v>
      </c>
      <c r="H4" s="354">
        <f>G4/G2</f>
        <v>0.15002143163309045</v>
      </c>
    </row>
    <row r="5" spans="3:9" x14ac:dyDescent="0.2">
      <c r="E5" s="116" t="s">
        <v>347</v>
      </c>
      <c r="G5" s="353">
        <f>'Kalkyl-Boende'!H26</f>
        <v>0</v>
      </c>
    </row>
    <row r="6" spans="3:9" x14ac:dyDescent="0.2">
      <c r="E6" s="116" t="s">
        <v>360</v>
      </c>
      <c r="G6" s="353">
        <f>G3-G4</f>
        <v>2776200</v>
      </c>
      <c r="H6" s="354">
        <f>G6/G2</f>
        <v>0.84997856836690955</v>
      </c>
    </row>
    <row r="7" spans="3:9" x14ac:dyDescent="0.2">
      <c r="E7" s="116" t="s">
        <v>349</v>
      </c>
      <c r="G7" s="353">
        <f>IF(G6&gt;0.85*G2,0.85*G2,G6)</f>
        <v>2776200</v>
      </c>
      <c r="H7" s="354">
        <f>G12</f>
        <v>0.84997856836690955</v>
      </c>
    </row>
    <row r="8" spans="3:9" x14ac:dyDescent="0.2">
      <c r="E8" s="116" t="s">
        <v>350</v>
      </c>
      <c r="G8" s="353">
        <f>G6-G7</f>
        <v>0</v>
      </c>
      <c r="H8" s="354">
        <f>G8/G2</f>
        <v>0</v>
      </c>
    </row>
    <row r="10" spans="3:9" x14ac:dyDescent="0.2">
      <c r="C10" s="353"/>
    </row>
    <row r="11" spans="3:9" x14ac:dyDescent="0.2">
      <c r="C11" s="353"/>
    </row>
    <row r="12" spans="3:9" x14ac:dyDescent="0.2">
      <c r="E12" s="116" t="s">
        <v>348</v>
      </c>
      <c r="G12" s="354">
        <f>IF(G6&gt;0.85*G2,0.85,G6/G2)</f>
        <v>0.84997856836690955</v>
      </c>
    </row>
    <row r="13" spans="3:9" x14ac:dyDescent="0.2">
      <c r="E13" s="116" t="s">
        <v>232</v>
      </c>
      <c r="G13" s="354">
        <f>IF(G7&gt;0.7*G2,2%,1%)</f>
        <v>0.02</v>
      </c>
    </row>
    <row r="16" spans="3:9" x14ac:dyDescent="0.2">
      <c r="F16" s="116" t="s">
        <v>351</v>
      </c>
      <c r="G16" s="116" t="s">
        <v>352</v>
      </c>
      <c r="H16" s="116" t="s">
        <v>353</v>
      </c>
      <c r="I16" s="116" t="s">
        <v>354</v>
      </c>
    </row>
    <row r="17" spans="3:9" x14ac:dyDescent="0.2">
      <c r="C17" s="198" t="s">
        <v>361</v>
      </c>
      <c r="D17" s="176"/>
      <c r="E17" s="118"/>
      <c r="F17" s="355">
        <f>IF(G2*0.5&lt;G6,G2*0.5,G6)</f>
        <v>1633100</v>
      </c>
      <c r="G17" s="214">
        <f>F17*2/100</f>
        <v>32662</v>
      </c>
      <c r="H17" s="121">
        <f>F17*G13</f>
        <v>32662</v>
      </c>
      <c r="I17" s="121">
        <f>SUM(G17:H17)</f>
        <v>65324</v>
      </c>
    </row>
    <row r="18" spans="3:9" x14ac:dyDescent="0.2">
      <c r="C18" s="198" t="s">
        <v>362</v>
      </c>
      <c r="D18" s="176"/>
      <c r="E18" s="208" t="s">
        <v>12</v>
      </c>
      <c r="F18" s="71">
        <f>G7-F17</f>
        <v>1143100</v>
      </c>
      <c r="G18" s="121">
        <f>F18*2/100</f>
        <v>22862</v>
      </c>
      <c r="H18" s="121">
        <f>F18*G13</f>
        <v>22862</v>
      </c>
      <c r="I18" s="121">
        <f>SUM(G18:H18)</f>
        <v>45724</v>
      </c>
    </row>
    <row r="19" spans="3:9" x14ac:dyDescent="0.2">
      <c r="C19" s="198" t="s">
        <v>363</v>
      </c>
      <c r="D19" s="216"/>
      <c r="E19" s="356">
        <f>'Kalkyl-Boende'!D32</f>
        <v>0.84997856836690955</v>
      </c>
      <c r="F19" s="357">
        <f>SUM(F17:F18)</f>
        <v>2776200</v>
      </c>
      <c r="G19" s="358">
        <f>SUM(G17:G18)</f>
        <v>55524</v>
      </c>
      <c r="H19" s="358">
        <f>SUM(H17:H18)</f>
        <v>55524</v>
      </c>
      <c r="I19" s="358">
        <f>SUM(I17:I18)</f>
        <v>111048</v>
      </c>
    </row>
    <row r="20" spans="3:9" x14ac:dyDescent="0.2">
      <c r="C20" s="106" t="s">
        <v>364</v>
      </c>
      <c r="D20" s="137"/>
      <c r="E20" s="180"/>
      <c r="F20" s="359">
        <f>G8</f>
        <v>0</v>
      </c>
      <c r="G20" s="214">
        <f>F20*6/100</f>
        <v>0</v>
      </c>
      <c r="H20" s="121">
        <f>F20*10/100</f>
        <v>0</v>
      </c>
      <c r="I20" s="121">
        <f>SUM(G20:H20)</f>
        <v>0</v>
      </c>
    </row>
    <row r="21" spans="3:9" x14ac:dyDescent="0.2">
      <c r="C21" s="106" t="s">
        <v>355</v>
      </c>
      <c r="D21" s="361"/>
      <c r="E21" s="362"/>
      <c r="F21" s="363">
        <f>SUM(F19:F20)</f>
        <v>2776200</v>
      </c>
      <c r="G21" s="363">
        <f>SUM(G19:G20)</f>
        <v>55524</v>
      </c>
      <c r="H21" s="363">
        <f>SUM(H19:H20)</f>
        <v>55524</v>
      </c>
      <c r="I21" s="363">
        <f>SUM(I19:I20)</f>
        <v>111048</v>
      </c>
    </row>
    <row r="22" spans="3:9" x14ac:dyDescent="0.2">
      <c r="C22" s="106" t="s">
        <v>365</v>
      </c>
      <c r="D22" s="361"/>
      <c r="E22" s="362"/>
      <c r="F22" s="363">
        <f>G5</f>
        <v>0</v>
      </c>
      <c r="G22" s="364"/>
      <c r="H22" s="364"/>
      <c r="I22" s="364"/>
    </row>
    <row r="23" spans="3:9" x14ac:dyDescent="0.2">
      <c r="C23" s="390" t="s">
        <v>366</v>
      </c>
      <c r="D23" s="215"/>
      <c r="E23" s="381">
        <f>'Kalkyl-Boende'!D35</f>
        <v>0.15002143163309045</v>
      </c>
      <c r="F23" s="100">
        <f>G4</f>
        <v>490000</v>
      </c>
      <c r="G23" s="220"/>
      <c r="H23" s="220"/>
      <c r="I23" s="221"/>
    </row>
    <row r="24" spans="3:9" x14ac:dyDescent="0.2">
      <c r="C24" s="391" t="s">
        <v>367</v>
      </c>
      <c r="D24" s="118"/>
      <c r="E24" s="103"/>
      <c r="F24" s="121">
        <f>SUM(F21:F23)</f>
        <v>3266200</v>
      </c>
      <c r="G24" s="152">
        <f>G21</f>
        <v>55524</v>
      </c>
      <c r="H24" s="152">
        <f>H21</f>
        <v>55524</v>
      </c>
      <c r="I24" s="363">
        <f>I21</f>
        <v>111048</v>
      </c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WG Dokumentbibliotek" ma:contentTypeID="0x010100AB5FA92CDB6E47CAB0A43E4DC85B091C00A0D3F5C9D6D2804A822C21AE468A0FD8" ma:contentTypeVersion="0" ma:contentTypeDescription="Innehållstyp för BWG Dokumentbibliotek, innehåller extra fält för taggning." ma:contentTypeScope="" ma:versionID="3b1865c6f8ce4002661cd18d2a8527fe">
  <xsd:schema xmlns:xsd="http://www.w3.org/2001/XMLSchema" xmlns:xs="http://www.w3.org/2001/XMLSchema" xmlns:p="http://schemas.microsoft.com/office/2006/metadata/properties" xmlns:ns2="c918dbe6-a03f-4ee3-b89d-ac2feeeb6c33" xmlns:ns3="89ec9a12-54d0-4d4b-b805-0fefbca689b7" targetNamespace="http://schemas.microsoft.com/office/2006/metadata/properties" ma:root="true" ma:fieldsID="3c2785f1d56ee2612cdbe73236ce4589" ns2:_="" ns3:_="">
    <xsd:import namespace="c918dbe6-a03f-4ee3-b89d-ac2feeeb6c33"/>
    <xsd:import namespace="89ec9a12-54d0-4d4b-b805-0fefbca689b7"/>
    <xsd:element name="properties">
      <xsd:complexType>
        <xsd:sequence>
          <xsd:element name="documentManagement">
            <xsd:complexType>
              <xsd:all>
                <xsd:element ref="ns2:DocumentTagOneTaxHTField0" minOccurs="0"/>
                <xsd:element ref="ns2:DocumentTagTwo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8dbe6-a03f-4ee3-b89d-ac2feeeb6c33" elementFormDefault="qualified">
    <xsd:import namespace="http://schemas.microsoft.com/office/2006/documentManagement/types"/>
    <xsd:import namespace="http://schemas.microsoft.com/office/infopath/2007/PartnerControls"/>
    <xsd:element name="DocumentTagOneTaxHTField0" ma:index="10" nillable="true" ma:taxonomy="true" ma:internalName="DocumentTagOneTaxHTField0" ma:taxonomyFieldName="DocumentTagOne" ma:displayName="Dokumenttyp" ma:fieldId="{d94e271f-7e09-465d-a8c2-f4e16221e06b}" ma:sspId="2ad2cbda-0495-4696-9a4d-9cda91e689d4" ma:termSetId="56ec378e-c7dc-4f9f-bd51-b12ef251bd2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TagTwoTaxHTField0" ma:index="11" nillable="true" ma:taxonomy="true" ma:internalName="DocumentTagTwoTaxHTField0" ma:taxonomyFieldName="DocumentTagTwo" ma:displayName="Tagg" ma:default="" ma:fieldId="{a93f08b7-d7de-4d71-b0e3-d9a0c739108a}" ma:taxonomyMulti="true" ma:sspId="2ad2cbda-0495-4696-9a4d-9cda91e689d4" ma:termSetId="b32f9359-9d07-44c9-abe1-098ee18b97ea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c9a12-54d0-4d4b-b805-0fefbca689b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Global taxonomikolumn" ma:description="" ma:hidden="true" ma:list="{7cfb2fd1-1811-45c1-947c-581afb53054f}" ma:internalName="TaxCatchAll" ma:showField="CatchAllData" ma:web="89ec9a12-54d0-4d4b-b805-0fefbca689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Global taxonomikolumn1" ma:description="" ma:hidden="true" ma:list="{7cfb2fd1-1811-45c1-947c-581afb53054f}" ma:internalName="TaxCatchAllLabel" ma:readOnly="true" ma:showField="CatchAllDataLabel" ma:web="89ec9a12-54d0-4d4b-b805-0fefbca689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ec9a12-54d0-4d4b-b805-0fefbca689b7">
      <Value>546</Value>
      <Value>13</Value>
    </TaxCatchAll>
    <DocumentTagOneTaxHTField0 xmlns="c918dbe6-a03f-4ee3-b89d-ac2feeeb6c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Avtal</TermName>
          <TermId xmlns="http://schemas.microsoft.com/office/infopath/2007/PartnerControls">f2a52a04-14e3-4516-932f-e1b0d911afdd</TermId>
        </TermInfo>
      </Terms>
    </DocumentTagOneTaxHTField0>
    <DocumentTagTwoTaxHTField0 xmlns="c918dbe6-a03f-4ee3-b89d-ac2feeeb6c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Kalkyl</TermName>
          <TermId xmlns="http://schemas.microsoft.com/office/infopath/2007/PartnerControls">ae9a9d98-ab73-44cb-910c-9d6e57be102a</TermId>
        </TermInfo>
      </Terms>
    </DocumentTagTwoTaxHTField0>
  </documentManagement>
</p:properties>
</file>

<file path=customXml/itemProps1.xml><?xml version="1.0" encoding="utf-8"?>
<ds:datastoreItem xmlns:ds="http://schemas.openxmlformats.org/officeDocument/2006/customXml" ds:itemID="{7541C354-6A3A-44CA-81CE-C1D9DFAC7FC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863D323-17A0-415A-86F9-80BF81E97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01966F-4FBF-4F20-B396-7A34CC29F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8dbe6-a03f-4ee3-b89d-ac2feeeb6c33"/>
    <ds:schemaRef ds:uri="89ec9a12-54d0-4d4b-b805-0fefbca68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353361-110C-4425-8940-32E6C0FC97EB}">
  <ds:schemaRefs>
    <ds:schemaRef ds:uri="http://purl.org/dc/terms/"/>
    <ds:schemaRef ds:uri="c918dbe6-a03f-4ee3-b89d-ac2feeeb6c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9ec9a12-54d0-4d4b-b805-0fefbca689b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Kalkyl-Total</vt:lpstr>
      <vt:lpstr>Kalkyl-Tillval</vt:lpstr>
      <vt:lpstr>Kalkyl-Drift</vt:lpstr>
      <vt:lpstr>Kalkyl-Boende</vt:lpstr>
      <vt:lpstr>Intresseanmälan-Bank</vt:lpstr>
      <vt:lpstr>Blad1</vt:lpstr>
      <vt:lpstr>'Kalkyl-Boende'!Utskriftsområde</vt:lpstr>
      <vt:lpstr>'Kalkyl-Drift'!Utskriftsområde</vt:lpstr>
      <vt:lpstr>'Kalkyl-Tillval'!Utskriftsområde</vt:lpstr>
      <vt:lpstr>'Kalkyl-Total'!Utskriftsområde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Kalkyl....</dc:title>
  <dc:creator>Sjölin Linda</dc:creator>
  <cp:lastModifiedBy>Annica Stark</cp:lastModifiedBy>
  <cp:lastPrinted>2025-07-03T15:37:36Z</cp:lastPrinted>
  <dcterms:created xsi:type="dcterms:W3CDTF">2011-01-10T08:22:44Z</dcterms:created>
  <dcterms:modified xsi:type="dcterms:W3CDTF">2025-10-09T08:03:45Z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Two">
    <vt:lpwstr>546;#Kalkyl|ae9a9d98-ab73-44cb-910c-9d6e57be102a</vt:lpwstr>
  </property>
  <property fmtid="{D5CDD505-2E9C-101B-9397-08002B2CF9AE}" pid="3" name="DocumentTagOne">
    <vt:lpwstr>13;#Avtal|f2a52a04-14e3-4516-932f-e1b0d911afdd</vt:lpwstr>
  </property>
  <property fmtid="{D5CDD505-2E9C-101B-9397-08002B2CF9AE}" pid="4" name="Länk till dokument">
    <vt:lpwstr>Lime</vt:lpwstr>
  </property>
  <property fmtid="{D5CDD505-2E9C-101B-9397-08002B2CF9AE}" pid="5" name="Kommentar 1">
    <vt:lpwstr>Saknar nya USP:ar i offertdelen (sid 2 och 3)</vt:lpwstr>
  </property>
  <property fmtid="{D5CDD505-2E9C-101B-9397-08002B2CF9AE}" pid="6" name="KOmmentar 3">
    <vt:lpwstr/>
  </property>
  <property fmtid="{D5CDD505-2E9C-101B-9397-08002B2CF9AE}" pid="7" name="Flödesordning">
    <vt:lpwstr>2 = Offert/avtalshandlingar</vt:lpwstr>
  </property>
  <property fmtid="{D5CDD505-2E9C-101B-9397-08002B2CF9AE}" pid="8" name="Kommentar 2">
    <vt:lpwstr/>
  </property>
  <property fmtid="{D5CDD505-2E9C-101B-9397-08002B2CF9AE}" pid="9" name="Prioritet">
    <vt:lpwstr>(2) Normal</vt:lpwstr>
  </property>
  <property fmtid="{D5CDD505-2E9C-101B-9397-08002B2CF9AE}" pid="10" name="Status">
    <vt:lpwstr>Godkänt och klar för pubilcering i Lime</vt:lpwstr>
  </property>
  <property fmtid="{D5CDD505-2E9C-101B-9397-08002B2CF9AE}" pid="11" name="display_urn:schemas-microsoft-com:office:office#Ansvarig">
    <vt:lpwstr>Landegren Anna</vt:lpwstr>
  </property>
  <property fmtid="{D5CDD505-2E9C-101B-9397-08002B2CF9AE}" pid="12" name="Ansvarig">
    <vt:lpwstr>99</vt:lpwstr>
  </property>
  <property fmtid="{D5CDD505-2E9C-101B-9397-08002B2CF9AE}" pid="13" name="MSIP_Label_6b35bc6a-1403-4484-8588-ee2d02ce80c1_Enabled">
    <vt:lpwstr>true</vt:lpwstr>
  </property>
  <property fmtid="{D5CDD505-2E9C-101B-9397-08002B2CF9AE}" pid="14" name="MSIP_Label_6b35bc6a-1403-4484-8588-ee2d02ce80c1_SetDate">
    <vt:lpwstr>2023-11-02T12:37:08Z</vt:lpwstr>
  </property>
  <property fmtid="{D5CDD505-2E9C-101B-9397-08002B2CF9AE}" pid="15" name="MSIP_Label_6b35bc6a-1403-4484-8588-ee2d02ce80c1_Method">
    <vt:lpwstr>Privileged</vt:lpwstr>
  </property>
  <property fmtid="{D5CDD505-2E9C-101B-9397-08002B2CF9AE}" pid="16" name="MSIP_Label_6b35bc6a-1403-4484-8588-ee2d02ce80c1_Name">
    <vt:lpwstr>Öppet</vt:lpwstr>
  </property>
  <property fmtid="{D5CDD505-2E9C-101B-9397-08002B2CF9AE}" pid="17" name="MSIP_Label_6b35bc6a-1403-4484-8588-ee2d02ce80c1_SiteId">
    <vt:lpwstr>b4377ef1-c046-4443-9d44-349c6e4902fa</vt:lpwstr>
  </property>
  <property fmtid="{D5CDD505-2E9C-101B-9397-08002B2CF9AE}" pid="18" name="MSIP_Label_6b35bc6a-1403-4484-8588-ee2d02ce80c1_ActionId">
    <vt:lpwstr>eac609bf-2731-4ea7-ba7b-f1cba7c5e013</vt:lpwstr>
  </property>
  <property fmtid="{D5CDD505-2E9C-101B-9397-08002B2CF9AE}" pid="19" name="MSIP_Label_6b35bc6a-1403-4484-8588-ee2d02ce80c1_ContentBits">
    <vt:lpwstr>0</vt:lpwstr>
  </property>
</Properties>
</file>