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obosonline-my.sharepoint.com/personal/fredrik_palm_myresjohus_se/Documents/Dokument/Tomter/OBOS tomter/Horndalsgränd/Kalkyl/"/>
    </mc:Choice>
  </mc:AlternateContent>
  <xr:revisionPtr revIDLastSave="0" documentId="8_{AEFEF09E-0619-41DD-B00A-CD09A1209E29}" xr6:coauthVersionLast="47" xr6:coauthVersionMax="47" xr10:uidLastSave="{00000000-0000-0000-0000-000000000000}"/>
  <bookViews>
    <workbookView xWindow="984" yWindow="780" windowWidth="16248" windowHeight="12756" tabRatio="696" xr2:uid="{DEB0EBF1-5566-407D-A5F8-2F31B8942AED}"/>
  </bookViews>
  <sheets>
    <sheet name="Underlagskalkyl" sheetId="1" r:id="rId1"/>
    <sheet name="Spec total" sheetId="2" r:id="rId2"/>
    <sheet name="Spec_uppdelad" sheetId="3" r:id="rId3"/>
    <sheet name="Blad1" sheetId="7" state="hidden" r:id="rId4"/>
    <sheet name="Bokalkyl" sheetId="4" r:id="rId5"/>
    <sheet name="Driftkostnad" sheetId="5" r:id="rId6"/>
    <sheet name="Analys" sheetId="6" r:id="rId7"/>
  </sheets>
  <definedNames>
    <definedName name="_xlnm.Print_Area" localSheetId="6">Analys!$A$1:$I$58</definedName>
    <definedName name="_xlnm.Print_Area" localSheetId="4">Bokalkyl!$A$1:$H$59</definedName>
    <definedName name="_xlnm.Print_Area" localSheetId="1">'Spec total'!$A$1:$I$47</definedName>
    <definedName name="_xlnm.Print_Area" localSheetId="2">Spec_uppdelad!$A$1:$H$52</definedName>
    <definedName name="_xlnm.Print_Area" localSheetId="0">Underlagskalkyl!$A$1:$H$54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" l="1"/>
  <c r="C26" i="6"/>
  <c r="D26" i="6"/>
  <c r="E26" i="6"/>
  <c r="F26" i="6"/>
  <c r="G26" i="6"/>
  <c r="T11" i="4"/>
  <c r="Y44" i="4"/>
  <c r="Z44" i="4"/>
  <c r="D7" i="7"/>
  <c r="H3" i="6"/>
  <c r="B11" i="6"/>
  <c r="E11" i="6"/>
  <c r="H11" i="6"/>
  <c r="B12" i="6"/>
  <c r="E12" i="6"/>
  <c r="H12" i="6"/>
  <c r="B13" i="6"/>
  <c r="B16" i="6"/>
  <c r="B17" i="6"/>
  <c r="H6" i="4"/>
  <c r="I4" i="5" s="1"/>
  <c r="A11" i="4"/>
  <c r="B73" i="4" s="1"/>
  <c r="G11" i="4"/>
  <c r="B75" i="4"/>
  <c r="A13" i="4"/>
  <c r="B74" i="4"/>
  <c r="R13" i="4"/>
  <c r="A16" i="4"/>
  <c r="E73" i="4" s="1"/>
  <c r="D16" i="4"/>
  <c r="E74" i="4" s="1"/>
  <c r="F16" i="4"/>
  <c r="F10" i="5" s="1"/>
  <c r="F18" i="4"/>
  <c r="B79" i="4" s="1"/>
  <c r="H22" i="4"/>
  <c r="L24" i="4"/>
  <c r="L23" i="4"/>
  <c r="S40" i="4"/>
  <c r="Q24" i="4"/>
  <c r="T21" i="4"/>
  <c r="R24" i="4"/>
  <c r="R30" i="4"/>
  <c r="S30" i="4"/>
  <c r="S32" i="4"/>
  <c r="T31" i="4"/>
  <c r="R33" i="4"/>
  <c r="S33" i="4"/>
  <c r="E34" i="4"/>
  <c r="Q39" i="4"/>
  <c r="H41" i="4"/>
  <c r="H42" i="4"/>
  <c r="K43" i="4"/>
  <c r="L43" i="4"/>
  <c r="L48" i="4"/>
  <c r="L45" i="4"/>
  <c r="T48" i="4"/>
  <c r="A59" i="4"/>
  <c r="A103" i="4"/>
  <c r="H65" i="4"/>
  <c r="H73" i="4"/>
  <c r="H74" i="4"/>
  <c r="B85" i="4"/>
  <c r="C85" i="4"/>
  <c r="D85" i="4"/>
  <c r="E85" i="4"/>
  <c r="F85" i="4"/>
  <c r="G85" i="4"/>
  <c r="M89" i="4"/>
  <c r="K91" i="4"/>
  <c r="K92" i="4"/>
  <c r="A7" i="5"/>
  <c r="F7" i="5"/>
  <c r="A8" i="5"/>
  <c r="A10" i="5"/>
  <c r="A42" i="5"/>
  <c r="I18" i="5"/>
  <c r="I31" i="5"/>
  <c r="I33" i="5"/>
  <c r="H40" i="4"/>
  <c r="I20" i="5"/>
  <c r="I21" i="5"/>
  <c r="A51" i="5"/>
  <c r="C5" i="2"/>
  <c r="A6" i="2"/>
  <c r="C6" i="2"/>
  <c r="F6" i="2"/>
  <c r="H6" i="2"/>
  <c r="A8" i="2"/>
  <c r="C8" i="2"/>
  <c r="F8" i="2"/>
  <c r="H46" i="2"/>
  <c r="E12" i="1" s="1"/>
  <c r="E14" i="1" s="1"/>
  <c r="F14" i="1" s="1"/>
  <c r="A47" i="2"/>
  <c r="C6" i="3"/>
  <c r="A7" i="3"/>
  <c r="C7" i="3"/>
  <c r="F7" i="3"/>
  <c r="H7" i="3"/>
  <c r="A9" i="3"/>
  <c r="C9" i="3"/>
  <c r="F9" i="3"/>
  <c r="A12" i="3"/>
  <c r="F12" i="3"/>
  <c r="A13" i="3"/>
  <c r="F13" i="3"/>
  <c r="H13" i="3"/>
  <c r="A14" i="3"/>
  <c r="F14" i="3"/>
  <c r="H14" i="3"/>
  <c r="A15" i="3"/>
  <c r="F15" i="3"/>
  <c r="H15" i="3"/>
  <c r="A16" i="3"/>
  <c r="F16" i="3"/>
  <c r="H16" i="3"/>
  <c r="A17" i="3"/>
  <c r="F17" i="3"/>
  <c r="H17" i="3"/>
  <c r="A18" i="3"/>
  <c r="F18" i="3"/>
  <c r="H18" i="3"/>
  <c r="A19" i="3"/>
  <c r="F19" i="3"/>
  <c r="H19" i="3"/>
  <c r="A20" i="3"/>
  <c r="F20" i="3"/>
  <c r="H20" i="3"/>
  <c r="A21" i="3"/>
  <c r="F21" i="3"/>
  <c r="H21" i="3"/>
  <c r="A22" i="3"/>
  <c r="F22" i="3"/>
  <c r="H22" i="3"/>
  <c r="A23" i="3"/>
  <c r="F23" i="3"/>
  <c r="H23" i="3"/>
  <c r="A24" i="3"/>
  <c r="F24" i="3"/>
  <c r="H24" i="3"/>
  <c r="A25" i="3"/>
  <c r="F25" i="3"/>
  <c r="H25" i="3"/>
  <c r="A26" i="3"/>
  <c r="F26" i="3"/>
  <c r="H26" i="3"/>
  <c r="A27" i="3"/>
  <c r="F27" i="3"/>
  <c r="H27" i="3"/>
  <c r="A28" i="3"/>
  <c r="F28" i="3"/>
  <c r="H28" i="3"/>
  <c r="A29" i="3"/>
  <c r="F29" i="3"/>
  <c r="H29" i="3"/>
  <c r="A30" i="3"/>
  <c r="F30" i="3"/>
  <c r="H30" i="3"/>
  <c r="A31" i="3"/>
  <c r="F31" i="3"/>
  <c r="H31" i="3"/>
  <c r="A32" i="3"/>
  <c r="F32" i="3"/>
  <c r="H32" i="3"/>
  <c r="A33" i="3"/>
  <c r="F33" i="3"/>
  <c r="H33" i="3"/>
  <c r="A34" i="3"/>
  <c r="F34" i="3"/>
  <c r="H34" i="3"/>
  <c r="A35" i="3"/>
  <c r="F35" i="3"/>
  <c r="H35" i="3"/>
  <c r="A36" i="3"/>
  <c r="F36" i="3"/>
  <c r="H36" i="3"/>
  <c r="A37" i="3"/>
  <c r="F37" i="3"/>
  <c r="H37" i="3"/>
  <c r="A38" i="3"/>
  <c r="F38" i="3"/>
  <c r="H38" i="3"/>
  <c r="A39" i="3"/>
  <c r="F39" i="3"/>
  <c r="H39" i="3"/>
  <c r="F40" i="3"/>
  <c r="H40" i="3"/>
  <c r="A41" i="3"/>
  <c r="F41" i="3"/>
  <c r="H41" i="3"/>
  <c r="A42" i="3"/>
  <c r="F42" i="3"/>
  <c r="H42" i="3"/>
  <c r="A43" i="3"/>
  <c r="F43" i="3"/>
  <c r="H43" i="3"/>
  <c r="A44" i="3"/>
  <c r="F44" i="3"/>
  <c r="H44" i="3"/>
  <c r="A45" i="3"/>
  <c r="F45" i="3"/>
  <c r="H45" i="3"/>
  <c r="A46" i="3"/>
  <c r="F46" i="3"/>
  <c r="H46" i="3"/>
  <c r="A47" i="3"/>
  <c r="F47" i="3"/>
  <c r="H47" i="3"/>
  <c r="A48" i="3"/>
  <c r="F48" i="3"/>
  <c r="H48" i="3"/>
  <c r="G49" i="3"/>
  <c r="G50" i="3"/>
  <c r="G51" i="3"/>
  <c r="A52" i="3"/>
  <c r="C14" i="1"/>
  <c r="D14" i="1"/>
  <c r="C27" i="1"/>
  <c r="F27" i="1"/>
  <c r="D27" i="1"/>
  <c r="E27" i="1"/>
  <c r="C40" i="1"/>
  <c r="D29" i="1"/>
  <c r="D40" i="1" s="1"/>
  <c r="E29" i="1"/>
  <c r="E40" i="1"/>
  <c r="C45" i="1"/>
  <c r="E45" i="1"/>
  <c r="C49" i="1"/>
  <c r="F49" i="1"/>
  <c r="D49" i="1"/>
  <c r="E49" i="1"/>
  <c r="L22" i="4"/>
  <c r="R40" i="4"/>
  <c r="T40" i="4"/>
  <c r="U22" i="4"/>
  <c r="G33" i="4"/>
  <c r="F33" i="4"/>
  <c r="U18" i="4"/>
  <c r="T22" i="4"/>
  <c r="T20" i="4"/>
  <c r="T18" i="4"/>
  <c r="Q25" i="4"/>
  <c r="K93" i="4"/>
  <c r="S41" i="4"/>
  <c r="K94" i="4"/>
  <c r="K95" i="4"/>
  <c r="R34" i="4"/>
  <c r="Y39" i="4"/>
  <c r="U20" i="4"/>
  <c r="B89" i="4"/>
  <c r="C89" i="4"/>
  <c r="D89" i="4"/>
  <c r="E89" i="4"/>
  <c r="F89" i="4"/>
  <c r="G89" i="4"/>
  <c r="B29" i="6"/>
  <c r="U21" i="4"/>
  <c r="R25" i="4"/>
  <c r="U19" i="4"/>
  <c r="V38" i="4"/>
  <c r="V39" i="4"/>
  <c r="Y40" i="4"/>
  <c r="V37" i="4"/>
  <c r="Y33" i="4"/>
  <c r="Y41" i="4"/>
  <c r="Z40" i="4"/>
  <c r="R41" i="4"/>
  <c r="T41" i="4"/>
  <c r="T33" i="4"/>
  <c r="Z38" i="4"/>
  <c r="W47" i="4"/>
  <c r="S42" i="4"/>
  <c r="V41" i="4"/>
  <c r="Y38" i="4"/>
  <c r="V40" i="4"/>
  <c r="R32" i="4"/>
  <c r="T30" i="4"/>
  <c r="L44" i="4"/>
  <c r="T19" i="4"/>
  <c r="L46" i="4"/>
  <c r="L47" i="4"/>
  <c r="V47" i="4"/>
  <c r="R42" i="4"/>
  <c r="T42" i="4"/>
  <c r="L50" i="4"/>
  <c r="M50" i="4"/>
  <c r="T47" i="4"/>
  <c r="C29" i="6"/>
  <c r="D29" i="6"/>
  <c r="E29" i="6"/>
  <c r="F29" i="6"/>
  <c r="G29" i="6"/>
  <c r="R35" i="4"/>
  <c r="T32" i="4"/>
  <c r="Y34" i="4"/>
  <c r="Z41" i="4"/>
  <c r="S34" i="4"/>
  <c r="Z39" i="4"/>
  <c r="T35" i="4"/>
  <c r="R38" i="4"/>
  <c r="R37" i="4"/>
  <c r="R39" i="4"/>
  <c r="T34" i="4"/>
  <c r="S35" i="4"/>
  <c r="H29" i="6"/>
  <c r="T39" i="4"/>
  <c r="R43" i="4"/>
  <c r="T38" i="4"/>
  <c r="S38" i="4"/>
  <c r="S39" i="4"/>
  <c r="S37" i="4"/>
  <c r="S43" i="4"/>
  <c r="S44" i="4"/>
  <c r="S45" i="4"/>
  <c r="S51" i="4"/>
  <c r="T37" i="4"/>
  <c r="T43" i="4"/>
  <c r="R51" i="4"/>
  <c r="R44" i="4"/>
  <c r="T44" i="4"/>
  <c r="T45" i="4"/>
  <c r="R45" i="4"/>
  <c r="A50" i="6"/>
  <c r="F51" i="3" l="1"/>
  <c r="B78" i="4"/>
  <c r="F8" i="5"/>
  <c r="H12" i="3"/>
  <c r="H49" i="3" s="1"/>
  <c r="H50" i="3" s="1"/>
  <c r="J41" i="1"/>
  <c r="H20" i="4"/>
  <c r="B80" i="4" s="1"/>
  <c r="F40" i="1"/>
  <c r="J39" i="1" s="1"/>
  <c r="H51" i="3" l="1"/>
  <c r="J43" i="1"/>
  <c r="D43" i="1" l="1"/>
  <c r="D45" i="1" s="1"/>
  <c r="F45" i="1" s="1"/>
  <c r="F51" i="1" l="1"/>
  <c r="H21" i="4"/>
  <c r="H23" i="4" s="1"/>
  <c r="H26" i="4" s="1"/>
  <c r="D5" i="7" s="1"/>
  <c r="H25" i="4" l="1"/>
  <c r="D6" i="7"/>
  <c r="D9" i="7" s="1"/>
  <c r="D10" i="7" s="1"/>
  <c r="G11" i="7" s="1"/>
  <c r="D34" i="4"/>
  <c r="A37" i="4" s="1"/>
  <c r="E35" i="4"/>
  <c r="F76" i="4"/>
  <c r="G90" i="4" s="1"/>
  <c r="F14" i="6"/>
  <c r="G21" i="6" s="1"/>
  <c r="G30" i="6" s="1"/>
  <c r="H30" i="6" s="1"/>
  <c r="B18" i="6"/>
  <c r="F14" i="7" l="1"/>
  <c r="D14" i="7" s="1"/>
  <c r="D22" i="4" s="1"/>
  <c r="D11" i="7"/>
  <c r="D17" i="7" s="1"/>
  <c r="E29" i="4" s="1"/>
  <c r="F29" i="4" s="1"/>
  <c r="G29" i="4" l="1"/>
  <c r="H29" i="4" s="1"/>
  <c r="D23" i="4"/>
  <c r="D18" i="7"/>
  <c r="E30" i="4" s="1"/>
  <c r="E31" i="4" s="1"/>
  <c r="D12" i="7"/>
  <c r="D31" i="4" s="1"/>
  <c r="D13" i="7"/>
  <c r="D19" i="7" s="1"/>
  <c r="E32" i="4" s="1"/>
  <c r="G32" i="4" s="1"/>
  <c r="D20" i="7" l="1"/>
  <c r="AH36" i="4"/>
  <c r="F30" i="4"/>
  <c r="F31" i="4" s="1"/>
  <c r="K30" i="4"/>
  <c r="H36" i="4"/>
  <c r="D32" i="4"/>
  <c r="F32" i="4"/>
  <c r="H32" i="4" s="1"/>
  <c r="G30" i="4"/>
  <c r="H30" i="4" l="1"/>
  <c r="H31" i="4" s="1"/>
  <c r="H35" i="4" s="1"/>
  <c r="H39" i="4" s="1"/>
  <c r="H43" i="4" s="1"/>
  <c r="H47" i="4" s="1"/>
  <c r="G28" i="6"/>
  <c r="G31" i="6" s="1"/>
  <c r="F28" i="6"/>
  <c r="F31" i="6" s="1"/>
  <c r="C28" i="6"/>
  <c r="C31" i="6" s="1"/>
  <c r="F35" i="4"/>
  <c r="B87" i="4" s="1"/>
  <c r="B91" i="4" s="1"/>
  <c r="G31" i="4"/>
  <c r="E28" i="6"/>
  <c r="E31" i="6" s="1"/>
  <c r="D28" i="6"/>
  <c r="D31" i="6" s="1"/>
  <c r="H44" i="4" l="1"/>
  <c r="B31" i="6" s="1"/>
  <c r="H31" i="6" s="1"/>
  <c r="B28" i="6"/>
  <c r="H28" i="6" s="1"/>
  <c r="G87" i="4"/>
  <c r="G91" i="4" s="1"/>
  <c r="G35" i="4"/>
  <c r="F87" i="4"/>
  <c r="F91" i="4" s="1"/>
  <c r="E87" i="4"/>
  <c r="E91" i="4" s="1"/>
  <c r="D87" i="4"/>
  <c r="D91" i="4" s="1"/>
  <c r="C87" i="4"/>
  <c r="C91" i="4" s="1"/>
  <c r="H45" i="4" l="1"/>
  <c r="H49" i="4"/>
  <c r="B27" i="6"/>
  <c r="B86" i="4"/>
  <c r="H48" i="4" l="1"/>
  <c r="T46" i="4"/>
  <c r="T49" i="4" s="1"/>
  <c r="T50" i="4" s="1"/>
  <c r="V50" i="4" s="1"/>
  <c r="H50" i="4" s="1"/>
  <c r="B92" i="4"/>
  <c r="C86" i="4"/>
  <c r="C27" i="6"/>
  <c r="B32" i="6"/>
  <c r="D27" i="6" l="1"/>
  <c r="C32" i="6"/>
  <c r="H32" i="6" s="1"/>
  <c r="D86" i="4"/>
  <c r="C92" i="4"/>
  <c r="B33" i="6"/>
  <c r="B35" i="6"/>
  <c r="B95" i="4"/>
  <c r="B93" i="4"/>
  <c r="C93" i="4" l="1"/>
  <c r="C94" i="4" s="1"/>
  <c r="C95" i="4"/>
  <c r="D92" i="4"/>
  <c r="E86" i="4"/>
  <c r="C33" i="6"/>
  <c r="C34" i="6" s="1"/>
  <c r="C35" i="6"/>
  <c r="D32" i="6"/>
  <c r="E27" i="6"/>
  <c r="E32" i="6" l="1"/>
  <c r="F27" i="6"/>
  <c r="D35" i="6"/>
  <c r="D33" i="6"/>
  <c r="D34" i="6" s="1"/>
  <c r="D93" i="4"/>
  <c r="D94" i="4" s="1"/>
  <c r="D95" i="4"/>
  <c r="E92" i="4"/>
  <c r="F86" i="4"/>
  <c r="G86" i="4" l="1"/>
  <c r="G92" i="4" s="1"/>
  <c r="F92" i="4"/>
  <c r="E93" i="4"/>
  <c r="E94" i="4" s="1"/>
  <c r="E95" i="4"/>
  <c r="G27" i="6"/>
  <c r="G32" i="6" s="1"/>
  <c r="F32" i="6"/>
  <c r="E35" i="6"/>
  <c r="E33" i="6"/>
  <c r="E34" i="6" s="1"/>
  <c r="H27" i="6" l="1"/>
  <c r="F35" i="6"/>
  <c r="F33" i="6"/>
  <c r="F34" i="6" s="1"/>
  <c r="G33" i="6"/>
  <c r="G35" i="6"/>
  <c r="F95" i="4"/>
  <c r="F93" i="4"/>
  <c r="G95" i="4"/>
  <c r="G93" i="4"/>
  <c r="F94" i="4" l="1"/>
  <c r="G94" i="4"/>
  <c r="G3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6" authorId="0" shapeId="0" xr:uid="{F1804896-2844-4040-99E9-40976F9AC2D5}">
      <text>
        <r>
          <rPr>
            <sz val="8"/>
            <color indexed="8"/>
            <rFont val="Times New Roman"/>
            <family val="1"/>
          </rPr>
          <t>Skriv lämplig text beroende på åtagande</t>
        </r>
      </text>
    </comment>
    <comment ref="F17" authorId="0" shapeId="0" xr:uid="{427815E6-6329-4E29-8178-BB7C4B667AA1}">
      <text>
        <r>
          <rPr>
            <sz val="8"/>
            <color indexed="8"/>
            <rFont val="Times New Roman"/>
            <family val="1"/>
          </rPr>
          <t>Skriv lämplig text beroende på åtagande</t>
        </r>
      </text>
    </comment>
    <comment ref="F18" authorId="0" shapeId="0" xr:uid="{D4EEE566-2BBF-4486-83FE-58B63F0AE6AF}">
      <text>
        <r>
          <rPr>
            <sz val="8"/>
            <color indexed="8"/>
            <rFont val="Times New Roman"/>
            <family val="1"/>
          </rPr>
          <t>Skriv lämplig text beroende på åtagande</t>
        </r>
      </text>
    </comment>
    <comment ref="F19" authorId="0" shapeId="0" xr:uid="{966B09DE-53BE-4098-8DB8-D212D176C624}">
      <text>
        <r>
          <rPr>
            <sz val="8"/>
            <color indexed="8"/>
            <rFont val="Times New Roman"/>
            <family val="1"/>
          </rPr>
          <t>Skriv lämplig text beroende på åtagande</t>
        </r>
      </text>
    </comment>
    <comment ref="F20" authorId="0" shapeId="0" xr:uid="{238D6DEA-3E7B-402C-9885-DDEC0F9416DC}">
      <text>
        <r>
          <rPr>
            <sz val="8"/>
            <color indexed="8"/>
            <rFont val="Times New Roman"/>
            <family val="1"/>
          </rPr>
          <t>Skriv lämplig text beroende på åtagande</t>
        </r>
      </text>
    </comment>
    <comment ref="F21" authorId="0" shapeId="0" xr:uid="{85CCFA3D-9A97-46BD-8682-1ACF550A7BAA}">
      <text>
        <r>
          <rPr>
            <sz val="8"/>
            <color indexed="8"/>
            <rFont val="Times New Roman"/>
            <family val="1"/>
          </rPr>
          <t>Skriv lämplig text beroende på åtagande</t>
        </r>
      </text>
    </comment>
    <comment ref="F22" authorId="0" shapeId="0" xr:uid="{D1767AD3-C0E4-4E11-B0B7-AB0833DF1122}">
      <text>
        <r>
          <rPr>
            <sz val="8"/>
            <color indexed="8"/>
            <rFont val="Times New Roman"/>
            <family val="1"/>
          </rPr>
          <t>Skriv lämplig text beroende på åtagande</t>
        </r>
      </text>
    </comment>
    <comment ref="F23" authorId="0" shapeId="0" xr:uid="{1EB94059-D96A-4DC8-8796-9B2AC6301E44}">
      <text>
        <r>
          <rPr>
            <sz val="8"/>
            <color indexed="8"/>
            <rFont val="Times New Roman"/>
            <family val="1"/>
          </rPr>
          <t>Skriv lämplig text beroende på åtagande</t>
        </r>
      </text>
    </comment>
    <comment ref="B38" authorId="0" shapeId="0" xr:uid="{E178B345-0CFD-4F25-8CA5-FC0415FE98A3}">
      <text>
        <r>
          <rPr>
            <sz val="8"/>
            <color indexed="8"/>
            <rFont val="Times New Roman"/>
            <family val="1"/>
          </rPr>
          <t>Kvalitetsansvarig bekostas av byggherren</t>
        </r>
      </text>
    </comment>
    <comment ref="D41" authorId="0" shapeId="0" xr:uid="{8EA4AF5E-96BC-47DA-8DF9-31695963B33B}">
      <text>
        <r>
          <rPr>
            <sz val="8"/>
            <color indexed="8"/>
            <rFont val="Times New Roman"/>
            <family val="1"/>
          </rPr>
          <t>Pantbrevskostnad =
total prod.kostnad minus
kontaninsats</t>
        </r>
      </text>
    </comment>
    <comment ref="D42" authorId="0" shapeId="0" xr:uid="{1591D597-B44A-47E7-9A91-9A35AEC7A8FB}">
      <text>
        <r>
          <rPr>
            <sz val="8"/>
            <color indexed="8"/>
            <rFont val="Times New Roman"/>
            <family val="1"/>
          </rPr>
          <t>Sätt in kreditivräntan i rutan
Bruttoränta, Kontantinsats påverkar ej
Produktionstid 4,5 mån belastar kostnaden under 
3/4-del av tiden
Tomtkostnaden belastar i 6 mån.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Bo Pettersson</author>
  </authors>
  <commentList>
    <comment ref="A18" authorId="0" shapeId="0" xr:uid="{44915F1F-A54C-48B5-A664-8F20BCAE36A0}">
      <text>
        <r>
          <rPr>
            <sz val="8"/>
            <color indexed="8"/>
            <rFont val="Times New Roman"/>
            <family val="1"/>
          </rPr>
          <t xml:space="preserve">Här kan ni lägga in Era olika kommuners kommunalskatt.
</t>
        </r>
      </text>
    </comment>
    <comment ref="C18" authorId="0" shapeId="0" xr:uid="{54A92C46-9697-4C91-AD87-65B209AE9BF8}">
      <text>
        <r>
          <rPr>
            <b/>
            <sz val="8"/>
            <color indexed="8"/>
            <rFont val="Times New Roman"/>
            <family val="1"/>
          </rPr>
          <t xml:space="preserve">Styr driftskostnaden:
</t>
        </r>
        <r>
          <rPr>
            <sz val="8"/>
            <color indexed="8"/>
            <rFont val="Times New Roman"/>
            <family val="1"/>
          </rPr>
          <t xml:space="preserve">BRA  upp till 124 kvm = 18.000 kr
BRA  125 kvm och större  = 20.000 kr
</t>
        </r>
        <r>
          <rPr>
            <b/>
            <sz val="8"/>
            <color indexed="8"/>
            <rFont val="Times New Roman"/>
            <family val="1"/>
          </rPr>
          <t xml:space="preserve">Styr även analysen! </t>
        </r>
      </text>
    </comment>
    <comment ref="H24" authorId="1" shapeId="0" xr:uid="{3D8141DD-F1D4-4BBC-BAF4-F35C160BD1E7}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0" shapeId="0" xr:uid="{A7F6B080-6258-470E-8B97-0B519FA996C0}">
      <text>
        <r>
          <rPr>
            <sz val="8"/>
            <color indexed="8"/>
            <rFont val="Times New Roman"/>
            <family val="1"/>
          </rPr>
          <t xml:space="preserve">Ange bankens värdering
för att kunna belåna till del av värdet. 
Storlek i % fylls i på rad 33.
</t>
        </r>
      </text>
    </comment>
    <comment ref="D31" authorId="0" shapeId="0" xr:uid="{54CD61AD-6E28-42E5-857A-236C3138FA18}">
      <text>
        <r>
          <rPr>
            <b/>
            <sz val="8"/>
            <color indexed="8"/>
            <rFont val="Times New Roman"/>
            <family val="1"/>
          </rPr>
          <t xml:space="preserve">Ange kreditgivarens belåningsgrad för bottenlån.
</t>
        </r>
      </text>
    </comment>
  </commentList>
</comments>
</file>

<file path=xl/sharedStrings.xml><?xml version="1.0" encoding="utf-8"?>
<sst xmlns="http://schemas.openxmlformats.org/spreadsheetml/2006/main" count="426" uniqueCount="321">
  <si>
    <t>UNDERLAG FÖR KALKYL</t>
  </si>
  <si>
    <t>Upprättad av</t>
  </si>
  <si>
    <t>Köpare</t>
  </si>
  <si>
    <t>Fastighetsbeteckning</t>
  </si>
  <si>
    <t>Datum</t>
  </si>
  <si>
    <t xml:space="preserve">Fredrik Palm              </t>
  </si>
  <si>
    <t>Hustyp</t>
  </si>
  <si>
    <t>Sidobyggnad</t>
  </si>
  <si>
    <t>Kommun</t>
  </si>
  <si>
    <t xml:space="preserve"> </t>
  </si>
  <si>
    <t xml:space="preserve">Köparens </t>
  </si>
  <si>
    <t>Säljarens pris/</t>
  </si>
  <si>
    <t>Anm/specifikation</t>
  </si>
  <si>
    <t>Kalkyl-</t>
  </si>
  <si>
    <t>KOSTNAD FÖR</t>
  </si>
  <si>
    <t>uppgifter</t>
  </si>
  <si>
    <t>skriftliga anbud</t>
  </si>
  <si>
    <t>(ev detaljer i bilaga)</t>
  </si>
  <si>
    <t>kontroll</t>
  </si>
  <si>
    <t>Hus i utgångsstandard</t>
  </si>
  <si>
    <t>Tillval och utbyten</t>
  </si>
  <si>
    <t>SUMMA</t>
  </si>
  <si>
    <t>Delsumma</t>
  </si>
  <si>
    <t>SÄLJARENS ÅTAGANDE</t>
  </si>
  <si>
    <t>Tillkommande material</t>
  </si>
  <si>
    <t>Schakt och grund</t>
  </si>
  <si>
    <t>Montering</t>
  </si>
  <si>
    <t>Övriga byggnadsarbeten</t>
  </si>
  <si>
    <t>VVS-installation</t>
  </si>
  <si>
    <t>El-installation</t>
  </si>
  <si>
    <t>Golvbeläggning</t>
  </si>
  <si>
    <t>Kakel/Klinker</t>
  </si>
  <si>
    <t>SUMMA TILLKOMM.</t>
  </si>
  <si>
    <t>MATERIAL OCH ARBETE</t>
  </si>
  <si>
    <t>Tomt kostnad.</t>
  </si>
  <si>
    <t>Lagfart</t>
  </si>
  <si>
    <t>Nybyggn. karta,bygglov</t>
  </si>
  <si>
    <t>Anslutning VA</t>
  </si>
  <si>
    <t>Anslutning EL</t>
  </si>
  <si>
    <t>Grundundersökning</t>
  </si>
  <si>
    <t>Uträkn.stöd</t>
  </si>
  <si>
    <t xml:space="preserve">SUMMA  </t>
  </si>
  <si>
    <t>För pantbrev</t>
  </si>
  <si>
    <t>TOMT OCH AVGIFTER</t>
  </si>
  <si>
    <t>Pantbrev och grav.bevis</t>
  </si>
  <si>
    <t>Entrkostn.</t>
  </si>
  <si>
    <t>Räntor o bankavg, rta%</t>
  </si>
  <si>
    <t>OBS! Generell beräkning</t>
  </si>
  <si>
    <t>Skattereduc. D:o 30%</t>
  </si>
  <si>
    <t>Tomtkostnader</t>
  </si>
  <si>
    <t>LÅNEKOSTNADER</t>
  </si>
  <si>
    <t>Uppräkn m h t byggtidp.</t>
  </si>
  <si>
    <t>Direkt insatt kapital/kontantdel</t>
  </si>
  <si>
    <t>Påverkar endast kreditivräntan</t>
  </si>
  <si>
    <t xml:space="preserve">SUMMA </t>
  </si>
  <si>
    <t>ÖVRIGT</t>
  </si>
  <si>
    <t>TOTALKOSTNAD</t>
  </si>
  <si>
    <t>TOTALT KRONOR</t>
  </si>
  <si>
    <t>SPECIFIKATION ÖVER TILLVAL</t>
  </si>
  <si>
    <t>T I L L V A L</t>
  </si>
  <si>
    <t>totalt</t>
  </si>
  <si>
    <t>TOTALT TILLVAL KRONOR INKL. MERVÄRDESKATT</t>
  </si>
  <si>
    <t>SPECIFIKATION ÖVER TILLVAL, UPPDELAT</t>
  </si>
  <si>
    <t>B E N Ä M N I N G -  T I L L V A L</t>
  </si>
  <si>
    <t>Totalpris</t>
  </si>
  <si>
    <t>Materialsats</t>
  </si>
  <si>
    <t>Byggplatsåtag.</t>
  </si>
  <si>
    <t>inkl moms</t>
  </si>
  <si>
    <t>exkl moms</t>
  </si>
  <si>
    <t>TOTALT TILLVAL KRONOR EXKL. MERVÄRDESKATT</t>
  </si>
  <si>
    <t>Mervärde skatt 25% på material och arbete</t>
  </si>
  <si>
    <t>HJÄLP-BERÄKNINGAR SOM EJ SKALL RÖRAS</t>
  </si>
  <si>
    <t>OBS! ENDAST VITA RUTOR SKALL KORRIGERAS VID SKATTEFÖRÄNDRINGAR</t>
  </si>
  <si>
    <t>Försäljningskontor:</t>
  </si>
  <si>
    <t xml:space="preserve">Borås                              </t>
  </si>
  <si>
    <t xml:space="preserve">Tel:033-10 86 80                      </t>
  </si>
  <si>
    <t xml:space="preserve">Tredje Villagatan 15A                                        </t>
  </si>
  <si>
    <t xml:space="preserve">Fax:033-10 55 25                 </t>
  </si>
  <si>
    <t xml:space="preserve"> Datum</t>
  </si>
  <si>
    <t xml:space="preserve">504 53                  </t>
  </si>
  <si>
    <t xml:space="preserve">Borås                </t>
  </si>
  <si>
    <t>Köpare nr 1</t>
  </si>
  <si>
    <t>Ber årslön</t>
  </si>
  <si>
    <t>Bilförmån/år</t>
  </si>
  <si>
    <t>Antal barn</t>
  </si>
  <si>
    <t>Säljare</t>
  </si>
  <si>
    <t>Sjukförsäkr</t>
  </si>
  <si>
    <t>Köpare nr 2</t>
  </si>
  <si>
    <t>Bidrag/år</t>
  </si>
  <si>
    <t>pensionstillsk</t>
  </si>
  <si>
    <t>Prisbasbelopp</t>
  </si>
  <si>
    <t>Inkomstbasbelopp</t>
  </si>
  <si>
    <t>Fastighet</t>
  </si>
  <si>
    <t>Brytpunkt 20%</t>
  </si>
  <si>
    <t xml:space="preserve">Statlig skatt </t>
  </si>
  <si>
    <t>Förutsättningar</t>
  </si>
  <si>
    <t>lön 1</t>
  </si>
  <si>
    <t>Lön 2</t>
  </si>
  <si>
    <t>Komm skatt</t>
  </si>
  <si>
    <t>BRA p</t>
  </si>
  <si>
    <t>Byggår</t>
  </si>
  <si>
    <t>Grundb.besiktn.</t>
  </si>
  <si>
    <t>Minimi skatt</t>
  </si>
  <si>
    <t>Taxerad inkomst =TI</t>
  </si>
  <si>
    <t>grundavdr</t>
  </si>
  <si>
    <t>Brytp II i %</t>
  </si>
  <si>
    <t>överst inte 0,99 pbb</t>
  </si>
  <si>
    <t>0,423 pbb</t>
  </si>
  <si>
    <t>Brytp II 5%</t>
  </si>
  <si>
    <t>mellan 0,99 o 2,72 pbb</t>
  </si>
  <si>
    <t>0,423*pbb + (TI - 0,99pbb)0,2</t>
  </si>
  <si>
    <t>Lån typ</t>
  </si>
  <si>
    <t>Ränta</t>
  </si>
  <si>
    <t>Amort</t>
  </si>
  <si>
    <t>Bind.tid</t>
  </si>
  <si>
    <t>Byggkostnad</t>
  </si>
  <si>
    <t xml:space="preserve">mellan 2,72 3,11 </t>
  </si>
  <si>
    <t>0,77*pbb</t>
  </si>
  <si>
    <t>ant. år</t>
  </si>
  <si>
    <t>Byggherrek. ansl.avg</t>
  </si>
  <si>
    <t>Beräkning av Allm pensionsavgift</t>
  </si>
  <si>
    <t>mellan 3,11 o 7,88 pbb</t>
  </si>
  <si>
    <t>0,77pbb-(TI - 3,11pbb)*0,1</t>
  </si>
  <si>
    <t>Bottenlån 1</t>
  </si>
  <si>
    <t>Tomtkostnad</t>
  </si>
  <si>
    <t>Lön 1</t>
  </si>
  <si>
    <t>över 7,88 pbb</t>
  </si>
  <si>
    <t>0,293*pbb</t>
  </si>
  <si>
    <t>Bottenlån 2</t>
  </si>
  <si>
    <t>Total prodkostn.</t>
  </si>
  <si>
    <t>Kontantinsats</t>
  </si>
  <si>
    <t>Allm pensinonsavg  7%</t>
  </si>
  <si>
    <t>Taxerad inkomst</t>
  </si>
  <si>
    <t xml:space="preserve">Tilläggslån 1 inom 90% </t>
  </si>
  <si>
    <t>Totalt lånebehov</t>
  </si>
  <si>
    <t>på 8,07% x höjt basb.</t>
  </si>
  <si>
    <t>Grundavdrag</t>
  </si>
  <si>
    <t>Värdering</t>
  </si>
  <si>
    <t>SAMMANSTÄLLNING FINANSIERING</t>
  </si>
  <si>
    <t>Upptagna lån</t>
  </si>
  <si>
    <t xml:space="preserve">Amort </t>
  </si>
  <si>
    <t>Summa</t>
  </si>
  <si>
    <t>Tilläggslån under 90% av värdering</t>
  </si>
  <si>
    <t>Skatteberäkning</t>
  </si>
  <si>
    <t>köpare 1</t>
  </si>
  <si>
    <t>köpare 2</t>
  </si>
  <si>
    <t>lön 2</t>
  </si>
  <si>
    <t>under 0,91</t>
  </si>
  <si>
    <t xml:space="preserve">Bottenlån 2  </t>
  </si>
  <si>
    <t>Lön</t>
  </si>
  <si>
    <t>Allmänna avdrag</t>
  </si>
  <si>
    <t>Totalt bottenlån andel i % av prod.kostn.</t>
  </si>
  <si>
    <t>Ev bilförmån besk.bar brutto</t>
  </si>
  <si>
    <t>Beskattningsbar inkomst</t>
  </si>
  <si>
    <t>Beräkning av Jobb avdrag</t>
  </si>
  <si>
    <t>År</t>
  </si>
  <si>
    <t>Pbb</t>
  </si>
  <si>
    <t>Total produktionskostnad</t>
  </si>
  <si>
    <t>Kommunal inkomstskatt</t>
  </si>
  <si>
    <t>Jobbavdrag</t>
  </si>
  <si>
    <t>Statlig inkomst över brytpunkt</t>
  </si>
  <si>
    <t>S:a kronor</t>
  </si>
  <si>
    <t xml:space="preserve">Statlig skatt över </t>
  </si>
  <si>
    <t>OBS! ifylles endast vid tomrätt</t>
  </si>
  <si>
    <t>Driftkostnad</t>
  </si>
  <si>
    <t xml:space="preserve">Allm pensionsavg. </t>
  </si>
  <si>
    <t>Tomtpris:</t>
  </si>
  <si>
    <t>Tomrättsavg %</t>
  </si>
  <si>
    <t>Tomträttsavg.</t>
  </si>
  <si>
    <t>Beräkning av barnbidrag</t>
  </si>
  <si>
    <t>Allm pensionsavg</t>
  </si>
  <si>
    <t>Samf./Vägfavg</t>
  </si>
  <si>
    <t>per mån</t>
  </si>
  <si>
    <t>per år</t>
  </si>
  <si>
    <t>Tillkommer för jobbavdrag</t>
  </si>
  <si>
    <t>Brutto kr</t>
  </si>
  <si>
    <t>Slutlig skatt</t>
  </si>
  <si>
    <t>Skatte reduc</t>
  </si>
  <si>
    <t>Vid 2 barn</t>
  </si>
  <si>
    <t>Kvar efter skatt</t>
  </si>
  <si>
    <t>Netto kr</t>
  </si>
  <si>
    <t>Vid 3 barn</t>
  </si>
  <si>
    <t>Slutligt kvar efter skatt</t>
  </si>
  <si>
    <t>vid 4 barn</t>
  </si>
  <si>
    <t>Boendekostnad netto efter skatt</t>
  </si>
  <si>
    <t>Månadskostnad inkl. drift och amortering</t>
  </si>
  <si>
    <t>Brutto</t>
  </si>
  <si>
    <t>vid 5 barn</t>
  </si>
  <si>
    <t>Tillkommer barnbidrag</t>
  </si>
  <si>
    <t>Netto</t>
  </si>
  <si>
    <t>mer än 5 barn</t>
  </si>
  <si>
    <t>Ev övriga obeskattade bidrag</t>
  </si>
  <si>
    <t>Varav amortering  -  eget sparande  -  per månad</t>
  </si>
  <si>
    <t>Kvar att leva på</t>
  </si>
  <si>
    <t>Hjälpruta</t>
  </si>
  <si>
    <t>Kvar att leva på efter skatt, barnbidrag och bokostn/mån</t>
  </si>
  <si>
    <t>D:o per månad</t>
  </si>
  <si>
    <t>(Prel skatt per månad)</t>
  </si>
  <si>
    <t>Anmärkning:</t>
  </si>
  <si>
    <t>Skatteberäkning har gjorts med grundavdrag och eventuell bilförmån.</t>
  </si>
  <si>
    <t>20% statlig skatt samt 5% värnskatt från resp. brytpunkt</t>
  </si>
  <si>
    <t xml:space="preserve">Allmän pensionsavgift: </t>
  </si>
  <si>
    <t>7% ( med maxbelopp räknat på 8,07% av förhöjt basbelopp.)</t>
  </si>
  <si>
    <t>ANALYS AV BOENDEKOSTNADER FÖR DE SEX FÖRSTA ÅREN</t>
  </si>
  <si>
    <t>Köpare 1:</t>
  </si>
  <si>
    <t>Fastighet:</t>
  </si>
  <si>
    <t>Byggår:</t>
  </si>
  <si>
    <t>Köpare 2:</t>
  </si>
  <si>
    <t>Kommun:</t>
  </si>
  <si>
    <t>Grundb.bes.</t>
  </si>
  <si>
    <t>Säljare:</t>
  </si>
  <si>
    <t>Uppskattat taxvärde:</t>
  </si>
  <si>
    <t>Hustyp:</t>
  </si>
  <si>
    <t>Anmärkning: Amorteringen har antagits lika under de 6 första åren</t>
  </si>
  <si>
    <t>Sidobyggnad:</t>
  </si>
  <si>
    <t>även om serielån ger en något ökande amortering.</t>
  </si>
  <si>
    <t>PK/m2 BRAp:</t>
  </si>
  <si>
    <t>(endast byggkostn inkl moms)</t>
  </si>
  <si>
    <t>Fastighetsskatt:1,5 %</t>
  </si>
  <si>
    <t>Prognos för boendekostnader  år 1 - 6</t>
  </si>
  <si>
    <t>Amortering</t>
  </si>
  <si>
    <t>Räntor</t>
  </si>
  <si>
    <t>Driftkostn.</t>
  </si>
  <si>
    <t>Hjälptabell lön</t>
  </si>
  <si>
    <t>ökning i %</t>
  </si>
  <si>
    <t>Fast.skatt</t>
  </si>
  <si>
    <t>Skatteredukt.</t>
  </si>
  <si>
    <t>år 1</t>
  </si>
  <si>
    <t>Årskostnad</t>
  </si>
  <si>
    <t>Månadskostn</t>
  </si>
  <si>
    <t xml:space="preserve">Förändr/mån. </t>
  </si>
  <si>
    <t>Bokost % lön</t>
  </si>
  <si>
    <t>Beräknad löneökn./år</t>
  </si>
  <si>
    <t>Beräknad ökn. av driftkostn/år.</t>
  </si>
  <si>
    <t>Anm. Bottenlån omplaceras efter fem år.</t>
  </si>
  <si>
    <t>Fastighetsskatt tillkommer fr.o.m. år sex och har beräknats på 75% av produktionskostnaden.</t>
  </si>
  <si>
    <t>De första 5 åren utgår ingen fastighetsskatt, under år 6-10 utgår halv fastighetsskatt och därefter hel.</t>
  </si>
  <si>
    <t>Preliminär driftkostnad för första året</t>
  </si>
  <si>
    <t>Fastighetsbeteckning och kommun</t>
  </si>
  <si>
    <t xml:space="preserve">Förutsättning för beräkningen är en familj med 2 vuxna </t>
  </si>
  <si>
    <t>och med 2 barn i skolåldern</t>
  </si>
  <si>
    <t>Vattenförbrukning per år  prel.</t>
  </si>
  <si>
    <t>antal m3</t>
  </si>
  <si>
    <t>kostn /m3</t>
  </si>
  <si>
    <t>Totalt</t>
  </si>
  <si>
    <t>Elförbrukning per år prel. beräkn.</t>
  </si>
  <si>
    <t>antal Kwh</t>
  </si>
  <si>
    <t>kostn/Kwh</t>
  </si>
  <si>
    <t>Hushålls-El per år prel. beräkn. antal KWh</t>
  </si>
  <si>
    <t>Ev annan uppvärmning, Olja gas, fjärrvärme el. dyl.</t>
  </si>
  <si>
    <t>Sophämtning per år</t>
  </si>
  <si>
    <t>Försäkring (dock ej lösöre) per år</t>
  </si>
  <si>
    <t>Underhålls- och reparationskostnader (inga kostnader under de första åren)</t>
  </si>
  <si>
    <t>Totalt uppskattad driftkostnad per år, kronor</t>
  </si>
  <si>
    <t>Beräknad driftkostnad per år avrundat till närmsta tusental kronor:</t>
  </si>
  <si>
    <t>Kostnad för del i samfällighets-, Väg-, eller tomtägarförening o.dyl. per år</t>
  </si>
  <si>
    <t xml:space="preserve">Ort </t>
  </si>
  <si>
    <t>Övriga förutsättningar:</t>
  </si>
  <si>
    <t>Bidr. andel</t>
  </si>
  <si>
    <t>Avtrappn/år</t>
  </si>
  <si>
    <t xml:space="preserve">Summa </t>
  </si>
  <si>
    <t>OBS! att fastighetsskatt kan komma att utgå på det gamla taxeringsvärdet tills ny fastighetsdeklaration</t>
  </si>
  <si>
    <t>inlämnats och fastigheten åsatts ett nytt taxeringsvärde och nytt värdeår. Först då inträder skattefrihet.</t>
  </si>
  <si>
    <t>Kontrollansvarig enl. PBL</t>
  </si>
  <si>
    <t>De första 5 åren utgår ingen fastighetsavgift, under år 6-10 utgår halv fastighetsavgift och därefter hel.</t>
  </si>
  <si>
    <t>Ingen fastighetsavgift utgår de första fem åren, därefter ½ fastighetsavgift i fem år till.</t>
  </si>
  <si>
    <t>0,91 - 2,94</t>
  </si>
  <si>
    <t>2,94 - 8,08</t>
  </si>
  <si>
    <t>Prisbasbelopp för år 2015</t>
  </si>
  <si>
    <t>för år 2015.</t>
  </si>
  <si>
    <t xml:space="preserve">Fastighetsavgift tillkommer fr.o.m. år sex och och utgår med ett indexsuppräknat belopp om ca 7.600:- </t>
  </si>
  <si>
    <t>ungefärlig prisuppgift enligt konsumenttjänstlagen ellen annan lagstiftning.</t>
  </si>
  <si>
    <r>
      <t xml:space="preserve">Anm. Angivna belopp, som inte grundas på tecknat kontrakt eller skriftligt anbud, utgör </t>
    </r>
    <r>
      <rPr>
        <u/>
        <sz val="10"/>
        <rFont val="Arial"/>
        <family val="2"/>
      </rPr>
      <t>ej</t>
    </r>
  </si>
  <si>
    <t>Uppskattat</t>
  </si>
  <si>
    <t>belopp</t>
  </si>
  <si>
    <t>Hjälpreda</t>
  </si>
  <si>
    <t>kontant</t>
  </si>
  <si>
    <t>eget arb</t>
  </si>
  <si>
    <t>ef lån</t>
  </si>
  <si>
    <t>belåningsgrad</t>
  </si>
  <si>
    <t>bottenlån max 85%</t>
  </si>
  <si>
    <t>Bottenl belåningsgrad</t>
  </si>
  <si>
    <t>Tilläggslån</t>
  </si>
  <si>
    <t>Bottenlån 1 max 50%</t>
  </si>
  <si>
    <t>Bottenlån 2 max 85 %</t>
  </si>
  <si>
    <t>Summa lån</t>
  </si>
  <si>
    <t>amotering %</t>
  </si>
  <si>
    <t xml:space="preserve">Tilläggslån </t>
  </si>
  <si>
    <t>Kontant insats i %</t>
  </si>
  <si>
    <t>Hjälpberäkn Jobb lön 1 över 13,54 PP</t>
  </si>
  <si>
    <t>D:o lön2</t>
  </si>
  <si>
    <t>Konstanter</t>
  </si>
  <si>
    <t>8,08 t 13,54</t>
  </si>
  <si>
    <t>över</t>
  </si>
  <si>
    <t>Beräkning av grundavdrag för år</t>
  </si>
  <si>
    <t xml:space="preserve">PRELIMINÄR KALKYL FÖR BOENDEKOSTNADER I  NYPRODUCERADE SMÅHUS ÅR </t>
  </si>
  <si>
    <t>Total prod kostn</t>
  </si>
  <si>
    <t>Hänsyn har tagits till förhöjt "Jobbavdrag" – även det sk femte steget t.o.m 2017-2018.</t>
  </si>
  <si>
    <t>Om totala lån överstiger bruttoinkomsten med 4,5x tillkommer 1% amort</t>
  </si>
  <si>
    <t xml:space="preserve">OBS! Skuldkvoten (4,5xbruttolön) påverkas om köparen har fler bostadslån </t>
  </si>
  <si>
    <t>än ovan i andra fastigheter eller bostadsrätter.</t>
  </si>
  <si>
    <t>Byggström</t>
  </si>
  <si>
    <t>2024-07-04 (2019-02-05 BP)</t>
  </si>
  <si>
    <t>Eventuell omlastning</t>
  </si>
  <si>
    <t>Fiberanslutning</t>
  </si>
  <si>
    <t>Inklusive hyra av elskåp</t>
  </si>
  <si>
    <t>Tillval enligt affärsförslag</t>
  </si>
  <si>
    <t>Enligt leveransbeskrivning</t>
  </si>
  <si>
    <t>Invändig målning</t>
  </si>
  <si>
    <t>Utvändig målning</t>
  </si>
  <si>
    <t>Grundmålat i fabrik</t>
  </si>
  <si>
    <t>Ev. tillkommande markarbeten</t>
  </si>
  <si>
    <t>Borås</t>
  </si>
  <si>
    <t>Nej</t>
  </si>
  <si>
    <t>Se affärförslag</t>
  </si>
  <si>
    <t>Kommunalt VA</t>
  </si>
  <si>
    <t>Vid behov</t>
  </si>
  <si>
    <t>Smart 150 - industriell</t>
  </si>
  <si>
    <t>Enligt offert SG Maskin</t>
  </si>
  <si>
    <t>Totalentreprenad</t>
  </si>
  <si>
    <t>Tomt 2 - Horndalsgränd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</si>
</sst>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/mm/dd"/>
    <numFmt numFmtId="165" formatCode="#,##0&quot; kr &quot;"/>
    <numFmt numFmtId="166" formatCode="#,##0.000"/>
    <numFmt numFmtId="167" formatCode="_-* #,##0.00&quot; kr&quot;_-;\-* #,##0.00&quot; kr&quot;_-;_-* \-??&quot; kr&quot;_-;_-@_-"/>
    <numFmt numFmtId="168" formatCode="_-* #,##0&quot; kr&quot;_-;\-* #,##0&quot; kr&quot;_-;_-* &quot;- kr&quot;_-;_-@_-"/>
    <numFmt numFmtId="169" formatCode="#,##0&quot; kr&quot;;\-#,##0&quot; kr&quot;"/>
  </numFmts>
  <fonts count="33" x14ac:knownFonts="1">
    <font>
      <sz val="10"/>
      <name val="Arial"/>
      <family val="2"/>
    </font>
    <font>
      <b/>
      <sz val="18"/>
      <name val="Times New Roman"/>
      <family val="1"/>
    </font>
    <font>
      <b/>
      <sz val="10"/>
      <name val="MS Sans Serif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sz val="9"/>
      <name val="Times New Roman"/>
      <family val="1"/>
    </font>
    <font>
      <sz val="6"/>
      <name val="Arial"/>
      <family val="2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sz val="8"/>
      <color indexed="8"/>
      <name val="Times New Roman"/>
      <family val="1"/>
    </font>
    <font>
      <b/>
      <i/>
      <sz val="8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i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22"/>
        <bgColor indexed="44"/>
      </patternFill>
    </fill>
    <fill>
      <patternFill patternType="solid">
        <fgColor indexed="12"/>
        <bgColor indexed="39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7"/>
        <bgColor indexed="9"/>
      </patternFill>
    </fill>
    <fill>
      <patternFill patternType="solid">
        <fgColor indexed="31"/>
        <bgColor indexed="27"/>
      </patternFill>
    </fill>
    <fill>
      <patternFill patternType="solid">
        <fgColor rgb="FFFFFF00"/>
        <bgColor indexed="39"/>
      </patternFill>
    </fill>
    <fill>
      <patternFill patternType="solid">
        <fgColor rgb="FFFFFF00"/>
        <b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rgb="FFFFFF00"/>
        <bgColor indexed="26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29" fillId="0" borderId="0" applyFill="0" applyBorder="0" applyAlignment="0" applyProtection="0"/>
  </cellStyleXfs>
  <cellXfs count="40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3" fontId="3" fillId="0" borderId="0" xfId="0" applyNumberFormat="1" applyFont="1"/>
    <xf numFmtId="0" fontId="4" fillId="2" borderId="0" xfId="0" applyFont="1" applyFill="1"/>
    <xf numFmtId="0" fontId="5" fillId="2" borderId="1" xfId="0" applyFont="1" applyFill="1" applyBorder="1"/>
    <xf numFmtId="0" fontId="6" fillId="2" borderId="2" xfId="0" applyFont="1" applyFill="1" applyBorder="1"/>
    <xf numFmtId="0" fontId="5" fillId="2" borderId="3" xfId="0" applyFont="1" applyFill="1" applyBorder="1"/>
    <xf numFmtId="0" fontId="6" fillId="2" borderId="3" xfId="0" applyFont="1" applyFill="1" applyBorder="1"/>
    <xf numFmtId="3" fontId="7" fillId="0" borderId="0" xfId="0" applyNumberFormat="1" applyFont="1"/>
    <xf numFmtId="3" fontId="7" fillId="0" borderId="4" xfId="0" applyNumberFormat="1" applyFont="1" applyBorder="1"/>
    <xf numFmtId="0" fontId="5" fillId="0" borderId="0" xfId="0" applyFont="1"/>
    <xf numFmtId="3" fontId="8" fillId="2" borderId="4" xfId="0" applyNumberFormat="1" applyFont="1" applyFill="1" applyBorder="1" applyAlignment="1">
      <alignment horizontal="left" vertical="top"/>
    </xf>
    <xf numFmtId="3" fontId="8" fillId="2" borderId="5" xfId="0" applyNumberFormat="1" applyFont="1" applyFill="1" applyBorder="1" applyAlignment="1">
      <alignment horizontal="left" vertical="top"/>
    </xf>
    <xf numFmtId="0" fontId="8" fillId="2" borderId="4" xfId="0" applyFont="1" applyFill="1" applyBorder="1" applyProtection="1">
      <protection locked="0"/>
    </xf>
    <xf numFmtId="0" fontId="8" fillId="2" borderId="0" xfId="0" applyFont="1" applyFill="1"/>
    <xf numFmtId="0" fontId="8" fillId="2" borderId="5" xfId="0" applyFont="1" applyFill="1" applyBorder="1"/>
    <xf numFmtId="3" fontId="8" fillId="2" borderId="4" xfId="0" applyNumberFormat="1" applyFont="1" applyFill="1" applyBorder="1" applyProtection="1">
      <protection locked="0"/>
    </xf>
    <xf numFmtId="3" fontId="8" fillId="2" borderId="5" xfId="0" applyNumberFormat="1" applyFont="1" applyFill="1" applyBorder="1"/>
    <xf numFmtId="3" fontId="3" fillId="0" borderId="4" xfId="0" applyNumberFormat="1" applyFont="1" applyBorder="1"/>
    <xf numFmtId="0" fontId="8" fillId="2" borderId="6" xfId="0" applyFont="1" applyFill="1" applyBorder="1" applyAlignment="1">
      <alignment horizontal="left" vertical="top" wrapText="1"/>
    </xf>
    <xf numFmtId="3" fontId="8" fillId="2" borderId="7" xfId="0" applyNumberFormat="1" applyFont="1" applyFill="1" applyBorder="1" applyAlignment="1">
      <alignment horizontal="left" vertical="top" wrapText="1"/>
    </xf>
    <xf numFmtId="3" fontId="8" fillId="2" borderId="6" xfId="0" applyNumberFormat="1" applyFont="1" applyFill="1" applyBorder="1" applyProtection="1">
      <protection locked="0"/>
    </xf>
    <xf numFmtId="3" fontId="8" fillId="2" borderId="8" xfId="0" applyNumberFormat="1" applyFont="1" applyFill="1" applyBorder="1"/>
    <xf numFmtId="3" fontId="8" fillId="2" borderId="7" xfId="0" applyNumberFormat="1" applyFont="1" applyFill="1" applyBorder="1"/>
    <xf numFmtId="0" fontId="8" fillId="2" borderId="6" xfId="0" applyFont="1" applyFill="1" applyBorder="1"/>
    <xf numFmtId="0" fontId="8" fillId="2" borderId="8" xfId="0" applyFont="1" applyFill="1" applyBorder="1"/>
    <xf numFmtId="3" fontId="5" fillId="2" borderId="4" xfId="0" applyNumberFormat="1" applyFont="1" applyFill="1" applyBorder="1"/>
    <xf numFmtId="3" fontId="6" fillId="2" borderId="5" xfId="0" applyNumberFormat="1" applyFont="1" applyFill="1" applyBorder="1"/>
    <xf numFmtId="3" fontId="6" fillId="2" borderId="0" xfId="0" applyNumberFormat="1" applyFont="1" applyFill="1"/>
    <xf numFmtId="3" fontId="5" fillId="2" borderId="1" xfId="0" applyNumberFormat="1" applyFont="1" applyFill="1" applyBorder="1"/>
    <xf numFmtId="3" fontId="6" fillId="2" borderId="3" xfId="0" applyNumberFormat="1" applyFont="1" applyFill="1" applyBorder="1"/>
    <xf numFmtId="0" fontId="8" fillId="2" borderId="6" xfId="0" applyFont="1" applyFill="1" applyBorder="1" applyProtection="1">
      <protection locked="0"/>
    </xf>
    <xf numFmtId="3" fontId="10" fillId="0" borderId="0" xfId="0" applyNumberFormat="1" applyFont="1"/>
    <xf numFmtId="3" fontId="10" fillId="0" borderId="4" xfId="0" applyNumberFormat="1" applyFont="1" applyBorder="1"/>
    <xf numFmtId="0" fontId="8" fillId="0" borderId="0" xfId="0" applyFont="1"/>
    <xf numFmtId="0" fontId="5" fillId="2" borderId="2" xfId="0" applyFont="1" applyFill="1" applyBorder="1"/>
    <xf numFmtId="0" fontId="5" fillId="2" borderId="9" xfId="0" applyFont="1" applyFill="1" applyBorder="1"/>
    <xf numFmtId="0" fontId="9" fillId="2" borderId="6" xfId="0" applyFont="1" applyFill="1" applyBorder="1"/>
    <xf numFmtId="0" fontId="5" fillId="2" borderId="7" xfId="0" applyFont="1" applyFill="1" applyBorder="1"/>
    <xf numFmtId="0" fontId="5" fillId="2" borderId="6" xfId="0" applyFont="1" applyFill="1" applyBorder="1"/>
    <xf numFmtId="3" fontId="0" fillId="2" borderId="9" xfId="0" applyNumberFormat="1" applyFill="1" applyBorder="1"/>
    <xf numFmtId="3" fontId="0" fillId="2" borderId="9" xfId="0" applyNumberFormat="1" applyFill="1" applyBorder="1" applyProtection="1">
      <protection locked="0"/>
    </xf>
    <xf numFmtId="3" fontId="0" fillId="2" borderId="10" xfId="0" applyNumberFormat="1" applyFill="1" applyBorder="1" applyAlignment="1" applyProtection="1">
      <alignment horizontal="left"/>
      <protection locked="0"/>
    </xf>
    <xf numFmtId="3" fontId="0" fillId="2" borderId="11" xfId="0" applyNumberFormat="1" applyFill="1" applyBorder="1" applyAlignment="1">
      <alignment horizontal="left"/>
    </xf>
    <xf numFmtId="0" fontId="5" fillId="2" borderId="10" xfId="0" applyFont="1" applyFill="1" applyBorder="1"/>
    <xf numFmtId="0" fontId="5" fillId="2" borderId="11" xfId="0" applyFont="1" applyFill="1" applyBorder="1"/>
    <xf numFmtId="3" fontId="0" fillId="2" borderId="12" xfId="0" applyNumberFormat="1" applyFill="1" applyBorder="1"/>
    <xf numFmtId="3" fontId="0" fillId="2" borderId="12" xfId="0" applyNumberFormat="1" applyFill="1" applyBorder="1" applyProtection="1">
      <protection locked="0"/>
    </xf>
    <xf numFmtId="3" fontId="0" fillId="2" borderId="10" xfId="0" applyNumberFormat="1" applyFill="1" applyBorder="1" applyProtection="1">
      <protection locked="0"/>
    </xf>
    <xf numFmtId="3" fontId="0" fillId="2" borderId="11" xfId="0" applyNumberForma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13" xfId="0" applyFont="1" applyFill="1" applyBorder="1"/>
    <xf numFmtId="0" fontId="5" fillId="2" borderId="13" xfId="0" applyFont="1" applyFill="1" applyBorder="1"/>
    <xf numFmtId="3" fontId="5" fillId="2" borderId="13" xfId="0" applyNumberFormat="1" applyFont="1" applyFill="1" applyBorder="1"/>
    <xf numFmtId="0" fontId="11" fillId="2" borderId="14" xfId="0" applyFont="1" applyFill="1" applyBorder="1"/>
    <xf numFmtId="3" fontId="0" fillId="2" borderId="15" xfId="0" applyNumberFormat="1" applyFill="1" applyBorder="1"/>
    <xf numFmtId="3" fontId="0" fillId="2" borderId="13" xfId="0" applyNumberFormat="1" applyFill="1" applyBorder="1"/>
    <xf numFmtId="0" fontId="9" fillId="2" borderId="7" xfId="0" applyFont="1" applyFill="1" applyBorder="1"/>
    <xf numFmtId="3" fontId="0" fillId="2" borderId="16" xfId="0" applyNumberFormat="1" applyFill="1" applyBorder="1" applyAlignment="1">
      <alignment horizontal="right"/>
    </xf>
    <xf numFmtId="3" fontId="0" fillId="2" borderId="17" xfId="0" applyNumberFormat="1" applyFill="1" applyBorder="1" applyAlignment="1">
      <alignment horizontal="right"/>
    </xf>
    <xf numFmtId="3" fontId="0" fillId="2" borderId="18" xfId="0" applyNumberFormat="1" applyFill="1" applyBorder="1"/>
    <xf numFmtId="3" fontId="0" fillId="2" borderId="19" xfId="0" applyNumberFormat="1" applyFill="1" applyBorder="1" applyAlignment="1" applyProtection="1">
      <alignment horizontal="left"/>
      <protection locked="0"/>
    </xf>
    <xf numFmtId="3" fontId="0" fillId="2" borderId="20" xfId="0" applyNumberFormat="1" applyFill="1" applyBorder="1" applyAlignment="1">
      <alignment horizontal="left"/>
    </xf>
    <xf numFmtId="0" fontId="0" fillId="2" borderId="2" xfId="0" applyFill="1" applyBorder="1"/>
    <xf numFmtId="0" fontId="0" fillId="2" borderId="11" xfId="0" applyFill="1" applyBorder="1" applyAlignment="1">
      <alignment horizontal="left"/>
    </xf>
    <xf numFmtId="0" fontId="11" fillId="0" borderId="0" xfId="0" applyFont="1"/>
    <xf numFmtId="0" fontId="5" fillId="2" borderId="1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5" fillId="2" borderId="10" xfId="0" applyFont="1" applyFill="1" applyBorder="1" applyProtection="1">
      <protection locked="0"/>
    </xf>
    <xf numFmtId="0" fontId="0" fillId="2" borderId="11" xfId="0" applyFill="1" applyBorder="1"/>
    <xf numFmtId="0" fontId="5" fillId="2" borderId="4" xfId="0" applyFont="1" applyFill="1" applyBorder="1"/>
    <xf numFmtId="3" fontId="3" fillId="0" borderId="12" xfId="0" applyNumberFormat="1" applyFont="1" applyBorder="1"/>
    <xf numFmtId="3" fontId="3" fillId="0" borderId="21" xfId="0" applyNumberFormat="1" applyFont="1" applyBorder="1"/>
    <xf numFmtId="2" fontId="5" fillId="2" borderId="12" xfId="0" applyNumberFormat="1" applyFont="1" applyFill="1" applyBorder="1" applyProtection="1">
      <protection locked="0"/>
    </xf>
    <xf numFmtId="3" fontId="0" fillId="2" borderId="0" xfId="0" applyNumberFormat="1" applyFill="1"/>
    <xf numFmtId="0" fontId="9" fillId="2" borderId="0" xfId="0" applyFont="1" applyFill="1"/>
    <xf numFmtId="0" fontId="5" fillId="2" borderId="5" xfId="0" applyFont="1" applyFill="1" applyBorder="1"/>
    <xf numFmtId="0" fontId="9" fillId="2" borderId="8" xfId="0" applyFont="1" applyFill="1" applyBorder="1"/>
    <xf numFmtId="3" fontId="0" fillId="2" borderId="7" xfId="0" applyNumberFormat="1" applyFill="1" applyBorder="1"/>
    <xf numFmtId="3" fontId="0" fillId="2" borderId="13" xfId="0" applyNumberFormat="1" applyFill="1" applyBorder="1" applyProtection="1">
      <protection locked="0"/>
    </xf>
    <xf numFmtId="3" fontId="0" fillId="3" borderId="12" xfId="0" applyNumberFormat="1" applyFill="1" applyBorder="1"/>
    <xf numFmtId="3" fontId="5" fillId="2" borderId="22" xfId="0" applyNumberFormat="1" applyFont="1" applyFill="1" applyBorder="1" applyAlignment="1">
      <alignment horizontal="left"/>
    </xf>
    <xf numFmtId="3" fontId="0" fillId="2" borderId="23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3" xfId="0" applyFill="1" applyBorder="1"/>
    <xf numFmtId="0" fontId="11" fillId="2" borderId="15" xfId="0" applyFont="1" applyFill="1" applyBorder="1"/>
    <xf numFmtId="0" fontId="5" fillId="2" borderId="8" xfId="0" applyFont="1" applyFill="1" applyBorder="1"/>
    <xf numFmtId="14" fontId="5" fillId="2" borderId="0" xfId="0" applyNumberFormat="1" applyFont="1" applyFill="1" applyAlignment="1">
      <alignment horizontal="left"/>
    </xf>
    <xf numFmtId="0" fontId="9" fillId="0" borderId="0" xfId="0" applyFont="1"/>
    <xf numFmtId="0" fontId="5" fillId="2" borderId="0" xfId="0" applyFont="1" applyFill="1"/>
    <xf numFmtId="3" fontId="0" fillId="0" borderId="0" xfId="0" applyNumberFormat="1"/>
    <xf numFmtId="0" fontId="3" fillId="0" borderId="0" xfId="0" applyFont="1"/>
    <xf numFmtId="3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center"/>
    </xf>
    <xf numFmtId="3" fontId="14" fillId="0" borderId="0" xfId="0" applyNumberFormat="1" applyFont="1"/>
    <xf numFmtId="2" fontId="3" fillId="0" borderId="0" xfId="0" applyNumberFormat="1" applyFont="1"/>
    <xf numFmtId="165" fontId="13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/>
    <xf numFmtId="0" fontId="3" fillId="0" borderId="0" xfId="0" applyFont="1" applyAlignment="1">
      <alignment horizontal="left"/>
    </xf>
    <xf numFmtId="2" fontId="3" fillId="2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11" fillId="0" borderId="3" xfId="0" applyFont="1" applyBorder="1"/>
    <xf numFmtId="0" fontId="11" fillId="0" borderId="2" xfId="0" applyFont="1" applyBorder="1"/>
    <xf numFmtId="3" fontId="5" fillId="0" borderId="1" xfId="0" applyNumberFormat="1" applyFont="1" applyBorder="1"/>
    <xf numFmtId="164" fontId="5" fillId="0" borderId="2" xfId="0" applyNumberFormat="1" applyFont="1" applyBorder="1"/>
    <xf numFmtId="0" fontId="11" fillId="0" borderId="9" xfId="0" applyFont="1" applyBorder="1"/>
    <xf numFmtId="0" fontId="11" fillId="0" borderId="4" xfId="0" applyFont="1" applyBorder="1"/>
    <xf numFmtId="0" fontId="11" fillId="0" borderId="5" xfId="0" applyFont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0" fontId="11" fillId="0" borderId="13" xfId="0" applyFont="1" applyBorder="1"/>
    <xf numFmtId="3" fontId="8" fillId="0" borderId="6" xfId="0" applyNumberFormat="1" applyFont="1" applyBorder="1"/>
    <xf numFmtId="3" fontId="0" fillId="0" borderId="7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0" fillId="0" borderId="7" xfId="0" applyBorder="1"/>
    <xf numFmtId="164" fontId="0" fillId="0" borderId="7" xfId="0" applyNumberForma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9" xfId="0" applyFont="1" applyBorder="1"/>
    <xf numFmtId="0" fontId="0" fillId="0" borderId="6" xfId="0" applyBorder="1"/>
    <xf numFmtId="0" fontId="0" fillId="0" borderId="18" xfId="0" applyBorder="1"/>
    <xf numFmtId="0" fontId="9" fillId="0" borderId="10" xfId="0" applyFont="1" applyBorder="1"/>
    <xf numFmtId="0" fontId="9" fillId="0" borderId="24" xfId="0" applyFont="1" applyBorder="1"/>
    <xf numFmtId="0" fontId="5" fillId="2" borderId="24" xfId="0" applyFont="1" applyFill="1" applyBorder="1"/>
    <xf numFmtId="3" fontId="0" fillId="0" borderId="24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2" xfId="0" applyNumberFormat="1" applyBorder="1" applyProtection="1">
      <protection locked="0"/>
    </xf>
    <xf numFmtId="3" fontId="16" fillId="0" borderId="0" xfId="0" applyNumberFormat="1" applyFont="1"/>
    <xf numFmtId="0" fontId="17" fillId="0" borderId="0" xfId="0" applyFont="1"/>
    <xf numFmtId="0" fontId="18" fillId="0" borderId="10" xfId="0" applyFont="1" applyBorder="1"/>
    <xf numFmtId="0" fontId="0" fillId="0" borderId="24" xfId="0" applyBorder="1"/>
    <xf numFmtId="0" fontId="0" fillId="2" borderId="24" xfId="0" applyFill="1" applyBorder="1"/>
    <xf numFmtId="0" fontId="0" fillId="2" borderId="8" xfId="0" applyFill="1" applyBorder="1"/>
    <xf numFmtId="3" fontId="0" fillId="0" borderId="12" xfId="0" applyNumberFormat="1" applyBorder="1"/>
    <xf numFmtId="14" fontId="5" fillId="0" borderId="0" xfId="0" applyNumberFormat="1" applyFont="1" applyAlignment="1">
      <alignment horizontal="left"/>
    </xf>
    <xf numFmtId="0" fontId="18" fillId="0" borderId="0" xfId="0" applyFont="1"/>
    <xf numFmtId="3" fontId="0" fillId="0" borderId="4" xfId="0" applyNumberFormat="1" applyBorder="1"/>
    <xf numFmtId="3" fontId="0" fillId="0" borderId="5" xfId="0" applyNumberFormat="1" applyBorder="1"/>
    <xf numFmtId="0" fontId="0" fillId="0" borderId="13" xfId="0" applyBorder="1"/>
    <xf numFmtId="0" fontId="9" fillId="0" borderId="1" xfId="0" applyFont="1" applyBorder="1"/>
    <xf numFmtId="0" fontId="18" fillId="0" borderId="3" xfId="0" applyFont="1" applyBorder="1"/>
    <xf numFmtId="3" fontId="5" fillId="0" borderId="9" xfId="0" applyNumberFormat="1" applyFont="1" applyBorder="1" applyAlignment="1">
      <alignment horizontal="center"/>
    </xf>
    <xf numFmtId="0" fontId="0" fillId="0" borderId="8" xfId="0" applyBorder="1"/>
    <xf numFmtId="0" fontId="0" fillId="2" borderId="7" xfId="0" applyFill="1" applyBorder="1"/>
    <xf numFmtId="3" fontId="5" fillId="0" borderId="18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Border="1" applyProtection="1">
      <protection locked="0"/>
    </xf>
    <xf numFmtId="0" fontId="0" fillId="0" borderId="12" xfId="0" applyBorder="1" applyProtection="1">
      <protection locked="0"/>
    </xf>
    <xf numFmtId="3" fontId="0" fillId="3" borderId="18" xfId="0" applyNumberFormat="1" applyFill="1" applyBorder="1"/>
    <xf numFmtId="0" fontId="9" fillId="0" borderId="0" xfId="0" applyFont="1" applyProtection="1">
      <protection locked="0"/>
    </xf>
    <xf numFmtId="3" fontId="0" fillId="4" borderId="0" xfId="0" applyNumberFormat="1" applyFill="1"/>
    <xf numFmtId="0" fontId="0" fillId="4" borderId="0" xfId="0" applyFill="1"/>
    <xf numFmtId="3" fontId="19" fillId="0" borderId="0" xfId="0" applyNumberFormat="1" applyFont="1"/>
    <xf numFmtId="3" fontId="18" fillId="4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Alignment="1">
      <alignment horizontal="left"/>
    </xf>
    <xf numFmtId="164" fontId="18" fillId="0" borderId="12" xfId="0" applyNumberFormat="1" applyFont="1" applyBorder="1" applyAlignment="1">
      <alignment horizontal="left"/>
    </xf>
    <xf numFmtId="164" fontId="18" fillId="0" borderId="0" xfId="0" applyNumberFormat="1" applyFont="1" applyAlignment="1">
      <alignment horizontal="center"/>
    </xf>
    <xf numFmtId="0" fontId="5" fillId="0" borderId="3" xfId="0" applyFont="1" applyBorder="1"/>
    <xf numFmtId="3" fontId="5" fillId="0" borderId="9" xfId="0" applyNumberFormat="1" applyFont="1" applyBorder="1"/>
    <xf numFmtId="0" fontId="5" fillId="4" borderId="0" xfId="0" applyFont="1" applyFill="1"/>
    <xf numFmtId="3" fontId="5" fillId="4" borderId="0" xfId="0" applyNumberFormat="1" applyFont="1" applyFill="1"/>
    <xf numFmtId="3" fontId="5" fillId="0" borderId="0" xfId="0" applyNumberFormat="1" applyFont="1"/>
    <xf numFmtId="3" fontId="0" fillId="0" borderId="18" xfId="0" applyNumberFormat="1" applyBorder="1" applyAlignment="1" applyProtection="1">
      <alignment horizontal="center"/>
      <protection locked="0"/>
    </xf>
    <xf numFmtId="3" fontId="0" fillId="5" borderId="12" xfId="0" applyNumberFormat="1" applyFill="1" applyBorder="1"/>
    <xf numFmtId="2" fontId="0" fillId="0" borderId="12" xfId="0" applyNumberFormat="1" applyBorder="1"/>
    <xf numFmtId="0" fontId="20" fillId="5" borderId="0" xfId="0" applyFont="1" applyFill="1"/>
    <xf numFmtId="0" fontId="0" fillId="5" borderId="0" xfId="0" applyFill="1"/>
    <xf numFmtId="3" fontId="4" fillId="5" borderId="21" xfId="0" applyNumberFormat="1" applyFont="1" applyFill="1" applyBorder="1" applyAlignment="1">
      <alignment horizontal="center"/>
    </xf>
    <xf numFmtId="0" fontId="0" fillId="0" borderId="2" xfId="0" applyBorder="1"/>
    <xf numFmtId="3" fontId="0" fillId="0" borderId="6" xfId="0" applyNumberFormat="1" applyBorder="1" applyAlignment="1">
      <alignment horizontal="left"/>
    </xf>
    <xf numFmtId="0" fontId="0" fillId="5" borderId="12" xfId="0" applyFill="1" applyBorder="1"/>
    <xf numFmtId="0" fontId="0" fillId="0" borderId="12" xfId="0" applyBorder="1"/>
    <xf numFmtId="0" fontId="5" fillId="5" borderId="0" xfId="0" applyFont="1" applyFill="1"/>
    <xf numFmtId="4" fontId="0" fillId="0" borderId="18" xfId="0" applyNumberFormat="1" applyBorder="1" applyAlignment="1" applyProtection="1">
      <alignment horizontal="center"/>
      <protection locked="0"/>
    </xf>
    <xf numFmtId="3" fontId="0" fillId="0" borderId="18" xfId="0" applyNumberFormat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0" fontId="0" fillId="5" borderId="24" xfId="0" applyFill="1" applyBorder="1"/>
    <xf numFmtId="0" fontId="0" fillId="5" borderId="11" xfId="0" applyFill="1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9" xfId="0" applyNumberFormat="1" applyBorder="1"/>
    <xf numFmtId="2" fontId="0" fillId="0" borderId="18" xfId="0" applyNumberFormat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5" fillId="4" borderId="21" xfId="0" applyNumberFormat="1" applyFont="1" applyFill="1" applyBorder="1" applyAlignment="1">
      <alignment horizontal="center"/>
    </xf>
    <xf numFmtId="3" fontId="5" fillId="0" borderId="6" xfId="0" applyNumberFormat="1" applyFont="1" applyBorder="1"/>
    <xf numFmtId="0" fontId="5" fillId="2" borderId="9" xfId="0" applyFont="1" applyFill="1" applyBorder="1" applyAlignment="1" applyProtection="1">
      <alignment horizontal="center"/>
      <protection locked="0"/>
    </xf>
    <xf numFmtId="3" fontId="5" fillId="5" borderId="12" xfId="0" applyNumberFormat="1" applyFont="1" applyFill="1" applyBorder="1"/>
    <xf numFmtId="0" fontId="5" fillId="0" borderId="9" xfId="0" applyFont="1" applyBorder="1" applyAlignment="1" applyProtection="1">
      <alignment horizontal="center"/>
      <protection locked="0"/>
    </xf>
    <xf numFmtId="0" fontId="5" fillId="0" borderId="24" xfId="0" applyFont="1" applyBorder="1"/>
    <xf numFmtId="0" fontId="0" fillId="0" borderId="11" xfId="0" applyBorder="1"/>
    <xf numFmtId="3" fontId="4" fillId="6" borderId="9" xfId="0" applyNumberFormat="1" applyFont="1" applyFill="1" applyBorder="1" applyProtection="1">
      <protection locked="0"/>
    </xf>
    <xf numFmtId="3" fontId="4" fillId="2" borderId="0" xfId="0" applyNumberFormat="1" applyFont="1" applyFill="1"/>
    <xf numFmtId="3" fontId="5" fillId="5" borderId="0" xfId="0" applyNumberFormat="1" applyFont="1" applyFill="1"/>
    <xf numFmtId="3" fontId="0" fillId="5" borderId="0" xfId="0" applyNumberFormat="1" applyFill="1"/>
    <xf numFmtId="4" fontId="0" fillId="0" borderId="12" xfId="0" applyNumberFormat="1" applyBorder="1"/>
    <xf numFmtId="3" fontId="0" fillId="0" borderId="1" xfId="0" applyNumberFormat="1" applyBorder="1" applyAlignment="1">
      <alignment horizontal="center"/>
    </xf>
    <xf numFmtId="3" fontId="18" fillId="6" borderId="25" xfId="0" applyNumberFormat="1" applyFont="1" applyFill="1" applyBorder="1"/>
    <xf numFmtId="3" fontId="0" fillId="6" borderId="25" xfId="0" applyNumberFormat="1" applyFill="1" applyBorder="1"/>
    <xf numFmtId="3" fontId="0" fillId="6" borderId="20" xfId="0" applyNumberFormat="1" applyFill="1" applyBorder="1"/>
    <xf numFmtId="3" fontId="0" fillId="6" borderId="26" xfId="0" applyNumberFormat="1" applyFill="1" applyBorder="1"/>
    <xf numFmtId="3" fontId="0" fillId="6" borderId="27" xfId="0" applyNumberFormat="1" applyFill="1" applyBorder="1"/>
    <xf numFmtId="3" fontId="5" fillId="0" borderId="10" xfId="0" applyNumberFormat="1" applyFont="1" applyBorder="1"/>
    <xf numFmtId="3" fontId="5" fillId="0" borderId="24" xfId="0" applyNumberFormat="1" applyFont="1" applyBorder="1"/>
    <xf numFmtId="3" fontId="0" fillId="0" borderId="11" xfId="0" applyNumberFormat="1" applyBorder="1" applyProtection="1">
      <protection locked="0"/>
    </xf>
    <xf numFmtId="9" fontId="0" fillId="4" borderId="0" xfId="0" applyNumberFormat="1" applyFill="1"/>
    <xf numFmtId="0" fontId="0" fillId="7" borderId="0" xfId="0" applyFill="1" applyAlignment="1">
      <alignment horizontal="center"/>
    </xf>
    <xf numFmtId="3" fontId="0" fillId="6" borderId="24" xfId="0" applyNumberFormat="1" applyFill="1" applyBorder="1"/>
    <xf numFmtId="3" fontId="0" fillId="6" borderId="11" xfId="0" applyNumberFormat="1" applyFill="1" applyBorder="1"/>
    <xf numFmtId="3" fontId="0" fillId="6" borderId="12" xfId="0" applyNumberFormat="1" applyFill="1" applyBorder="1"/>
    <xf numFmtId="0" fontId="0" fillId="6" borderId="12" xfId="0" applyFill="1" applyBorder="1"/>
    <xf numFmtId="0" fontId="0" fillId="6" borderId="28" xfId="0" applyFill="1" applyBorder="1"/>
    <xf numFmtId="3" fontId="0" fillId="6" borderId="28" xfId="0" applyNumberFormat="1" applyFill="1" applyBorder="1"/>
    <xf numFmtId="4" fontId="0" fillId="4" borderId="0" xfId="0" applyNumberFormat="1" applyFill="1"/>
    <xf numFmtId="3" fontId="0" fillId="6" borderId="29" xfId="0" applyNumberFormat="1" applyFill="1" applyBorder="1"/>
    <xf numFmtId="3" fontId="5" fillId="0" borderId="8" xfId="0" applyNumberFormat="1" applyFont="1" applyBorder="1"/>
    <xf numFmtId="0" fontId="5" fillId="0" borderId="8" xfId="0" applyFont="1" applyBorder="1"/>
    <xf numFmtId="3" fontId="0" fillId="6" borderId="30" xfId="0" applyNumberFormat="1" applyFill="1" applyBorder="1"/>
    <xf numFmtId="3" fontId="0" fillId="6" borderId="3" xfId="0" applyNumberFormat="1" applyFill="1" applyBorder="1"/>
    <xf numFmtId="3" fontId="0" fillId="6" borderId="2" xfId="0" applyNumberFormat="1" applyFill="1" applyBorder="1"/>
    <xf numFmtId="3" fontId="0" fillId="0" borderId="1" xfId="0" applyNumberFormat="1" applyBorder="1"/>
    <xf numFmtId="3" fontId="0" fillId="6" borderId="10" xfId="0" applyNumberFormat="1" applyFill="1" applyBorder="1"/>
    <xf numFmtId="3" fontId="0" fillId="0" borderId="10" xfId="0" applyNumberFormat="1" applyBorder="1"/>
    <xf numFmtId="3" fontId="0" fillId="5" borderId="24" xfId="0" applyNumberFormat="1" applyFill="1" applyBorder="1"/>
    <xf numFmtId="3" fontId="0" fillId="5" borderId="12" xfId="0" applyNumberFormat="1" applyFill="1" applyBorder="1" applyAlignment="1">
      <alignment horizontal="center"/>
    </xf>
    <xf numFmtId="166" fontId="0" fillId="5" borderId="10" xfId="0" applyNumberFormat="1" applyFill="1" applyBorder="1" applyAlignment="1">
      <alignment horizontal="center"/>
    </xf>
    <xf numFmtId="3" fontId="0" fillId="8" borderId="4" xfId="0" applyNumberFormat="1" applyFill="1" applyBorder="1"/>
    <xf numFmtId="3" fontId="0" fillId="8" borderId="13" xfId="0" applyNumberFormat="1" applyFill="1" applyBorder="1"/>
    <xf numFmtId="3" fontId="0" fillId="5" borderId="6" xfId="0" applyNumberFormat="1" applyFill="1" applyBorder="1"/>
    <xf numFmtId="3" fontId="0" fillId="5" borderId="8" xfId="0" applyNumberFormat="1" applyFill="1" applyBorder="1"/>
    <xf numFmtId="3" fontId="0" fillId="5" borderId="7" xfId="0" applyNumberFormat="1" applyFill="1" applyBorder="1"/>
    <xf numFmtId="3" fontId="0" fillId="0" borderId="24" xfId="0" applyNumberFormat="1" applyBorder="1"/>
    <xf numFmtId="3" fontId="0" fillId="5" borderId="11" xfId="0" applyNumberFormat="1" applyFill="1" applyBorder="1"/>
    <xf numFmtId="3" fontId="5" fillId="2" borderId="0" xfId="0" applyNumberFormat="1" applyFont="1" applyFill="1"/>
    <xf numFmtId="3" fontId="5" fillId="0" borderId="12" xfId="0" applyNumberFormat="1" applyFont="1" applyBorder="1"/>
    <xf numFmtId="10" fontId="0" fillId="0" borderId="21" xfId="1" applyNumberFormat="1" applyFont="1" applyFill="1" applyBorder="1" applyAlignment="1" applyProtection="1"/>
    <xf numFmtId="3" fontId="0" fillId="0" borderId="12" xfId="0" applyNumberFormat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3" fontId="0" fillId="6" borderId="31" xfId="0" applyNumberFormat="1" applyFill="1" applyBorder="1"/>
    <xf numFmtId="3" fontId="0" fillId="6" borderId="15" xfId="0" applyNumberFormat="1" applyFill="1" applyBorder="1"/>
    <xf numFmtId="3" fontId="0" fillId="6" borderId="9" xfId="0" applyNumberFormat="1" applyFill="1" applyBorder="1"/>
    <xf numFmtId="3" fontId="0" fillId="6" borderId="32" xfId="0" applyNumberFormat="1" applyFill="1" applyBorder="1"/>
    <xf numFmtId="0" fontId="0" fillId="6" borderId="24" xfId="0" applyFill="1" applyBorder="1"/>
    <xf numFmtId="0" fontId="0" fillId="6" borderId="11" xfId="0" applyFill="1" applyBorder="1"/>
    <xf numFmtId="0" fontId="24" fillId="0" borderId="0" xfId="0" applyFont="1"/>
    <xf numFmtId="3" fontId="0" fillId="6" borderId="33" xfId="0" applyNumberFormat="1" applyFill="1" applyBorder="1"/>
    <xf numFmtId="3" fontId="0" fillId="6" borderId="16" xfId="0" applyNumberFormat="1" applyFill="1" applyBorder="1"/>
    <xf numFmtId="3" fontId="0" fillId="6" borderId="34" xfId="0" applyNumberFormat="1" applyFill="1" applyBorder="1"/>
    <xf numFmtId="3" fontId="0" fillId="6" borderId="35" xfId="0" applyNumberFormat="1" applyFill="1" applyBorder="1"/>
    <xf numFmtId="3" fontId="0" fillId="6" borderId="36" xfId="0" applyNumberFormat="1" applyFill="1" applyBorder="1"/>
    <xf numFmtId="3" fontId="0" fillId="6" borderId="37" xfId="0" applyNumberFormat="1" applyFill="1" applyBorder="1"/>
    <xf numFmtId="3" fontId="0" fillId="6" borderId="38" xfId="0" applyNumberFormat="1" applyFill="1" applyBorder="1"/>
    <xf numFmtId="3" fontId="0" fillId="6" borderId="39" xfId="0" applyNumberFormat="1" applyFill="1" applyBorder="1"/>
    <xf numFmtId="3" fontId="0" fillId="6" borderId="40" xfId="0" applyNumberFormat="1" applyFill="1" applyBorder="1"/>
    <xf numFmtId="3" fontId="0" fillId="6" borderId="41" xfId="0" applyNumberFormat="1" applyFill="1" applyBorder="1"/>
    <xf numFmtId="3" fontId="0" fillId="6" borderId="42" xfId="0" applyNumberFormat="1" applyFill="1" applyBorder="1"/>
    <xf numFmtId="0" fontId="0" fillId="6" borderId="33" xfId="0" applyFill="1" applyBorder="1"/>
    <xf numFmtId="10" fontId="0" fillId="0" borderId="0" xfId="1" applyNumberFormat="1" applyFont="1" applyFill="1" applyBorder="1" applyAlignment="1" applyProtection="1"/>
    <xf numFmtId="3" fontId="0" fillId="6" borderId="43" xfId="0" applyNumberFormat="1" applyFill="1" applyBorder="1"/>
    <xf numFmtId="3" fontId="0" fillId="6" borderId="8" xfId="0" applyNumberFormat="1" applyFill="1" applyBorder="1"/>
    <xf numFmtId="3" fontId="0" fillId="6" borderId="7" xfId="0" applyNumberFormat="1" applyFill="1" applyBorder="1"/>
    <xf numFmtId="3" fontId="0" fillId="6" borderId="18" xfId="0" applyNumberFormat="1" applyFill="1" applyBorder="1"/>
    <xf numFmtId="0" fontId="0" fillId="6" borderId="18" xfId="0" applyFill="1" applyBorder="1"/>
    <xf numFmtId="3" fontId="0" fillId="6" borderId="44" xfId="0" applyNumberFormat="1" applyFill="1" applyBorder="1"/>
    <xf numFmtId="3" fontId="19" fillId="6" borderId="12" xfId="0" applyNumberFormat="1" applyFont="1" applyFill="1" applyBorder="1"/>
    <xf numFmtId="3" fontId="19" fillId="2" borderId="0" xfId="0" applyNumberFormat="1" applyFont="1" applyFill="1"/>
    <xf numFmtId="0" fontId="0" fillId="6" borderId="45" xfId="0" applyFill="1" applyBorder="1"/>
    <xf numFmtId="0" fontId="0" fillId="6" borderId="0" xfId="0" applyFill="1"/>
    <xf numFmtId="3" fontId="18" fillId="0" borderId="12" xfId="0" applyNumberFormat="1" applyFont="1" applyBorder="1"/>
    <xf numFmtId="3" fontId="18" fillId="2" borderId="0" xfId="0" applyNumberFormat="1" applyFont="1" applyFill="1"/>
    <xf numFmtId="0" fontId="0" fillId="6" borderId="2" xfId="0" applyFill="1" applyBorder="1"/>
    <xf numFmtId="0" fontId="0" fillId="6" borderId="9" xfId="0" applyFill="1" applyBorder="1"/>
    <xf numFmtId="3" fontId="4" fillId="6" borderId="12" xfId="0" applyNumberFormat="1" applyFont="1" applyFill="1" applyBorder="1"/>
    <xf numFmtId="0" fontId="0" fillId="6" borderId="23" xfId="0" applyFill="1" applyBorder="1"/>
    <xf numFmtId="3" fontId="0" fillId="6" borderId="46" xfId="0" applyNumberFormat="1" applyFill="1" applyBorder="1"/>
    <xf numFmtId="0" fontId="0" fillId="6" borderId="47" xfId="0" applyFill="1" applyBorder="1"/>
    <xf numFmtId="3" fontId="0" fillId="6" borderId="14" xfId="0" applyNumberFormat="1" applyFill="1" applyBorder="1"/>
    <xf numFmtId="3" fontId="0" fillId="6" borderId="48" xfId="0" applyNumberFormat="1" applyFill="1" applyBorder="1"/>
    <xf numFmtId="3" fontId="0" fillId="6" borderId="49" xfId="0" applyNumberFormat="1" applyFill="1" applyBorder="1"/>
    <xf numFmtId="3" fontId="0" fillId="6" borderId="50" xfId="0" applyNumberFormat="1" applyFill="1" applyBorder="1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25" fillId="0" borderId="0" xfId="0" applyFont="1"/>
    <xf numFmtId="14" fontId="5" fillId="0" borderId="0" xfId="0" applyNumberFormat="1" applyFont="1"/>
    <xf numFmtId="3" fontId="18" fillId="0" borderId="0" xfId="0" applyNumberFormat="1" applyFont="1" applyAlignment="1">
      <alignment horizontal="right"/>
    </xf>
    <xf numFmtId="2" fontId="0" fillId="0" borderId="0" xfId="0" applyNumberFormat="1"/>
    <xf numFmtId="3" fontId="0" fillId="0" borderId="0" xfId="0" applyNumberFormat="1" applyAlignment="1" applyProtection="1">
      <alignment horizontal="left"/>
      <protection locked="0"/>
    </xf>
    <xf numFmtId="165" fontId="18" fillId="0" borderId="12" xfId="0" applyNumberFormat="1" applyFont="1" applyBorder="1" applyAlignment="1">
      <alignment horizontal="center"/>
    </xf>
    <xf numFmtId="0" fontId="26" fillId="0" borderId="0" xfId="0" applyFont="1"/>
    <xf numFmtId="0" fontId="0" fillId="0" borderId="9" xfId="0" applyBorder="1"/>
    <xf numFmtId="0" fontId="0" fillId="0" borderId="12" xfId="0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2" xfId="0" applyNumberFormat="1" applyBorder="1"/>
    <xf numFmtId="0" fontId="0" fillId="0" borderId="0" xfId="0" applyAlignment="1">
      <alignment horizontal="right"/>
    </xf>
    <xf numFmtId="3" fontId="18" fillId="6" borderId="11" xfId="0" applyNumberFormat="1" applyFont="1" applyFill="1" applyBorder="1"/>
    <xf numFmtId="3" fontId="18" fillId="6" borderId="12" xfId="0" applyNumberFormat="1" applyFont="1" applyFill="1" applyBorder="1"/>
    <xf numFmtId="2" fontId="0" fillId="0" borderId="12" xfId="0" applyNumberFormat="1" applyBorder="1" applyAlignment="1" applyProtection="1">
      <alignment horizontal="center"/>
      <protection locked="0"/>
    </xf>
    <xf numFmtId="164" fontId="5" fillId="0" borderId="0" xfId="0" applyNumberFormat="1" applyFont="1" applyAlignment="1">
      <alignment horizontal="left"/>
    </xf>
    <xf numFmtId="0" fontId="27" fillId="0" borderId="0" xfId="0" applyFont="1"/>
    <xf numFmtId="0" fontId="4" fillId="0" borderId="0" xfId="0" applyFont="1"/>
    <xf numFmtId="0" fontId="0" fillId="0" borderId="3" xfId="0" applyBorder="1"/>
    <xf numFmtId="0" fontId="19" fillId="0" borderId="0" xfId="0" applyFont="1"/>
    <xf numFmtId="167" fontId="0" fillId="0" borderId="12" xfId="0" applyNumberFormat="1" applyBorder="1" applyProtection="1">
      <protection locked="0"/>
    </xf>
    <xf numFmtId="168" fontId="0" fillId="0" borderId="12" xfId="0" applyNumberFormat="1" applyBorder="1" applyAlignment="1">
      <alignment horizontal="right"/>
    </xf>
    <xf numFmtId="168" fontId="0" fillId="0" borderId="12" xfId="0" applyNumberFormat="1" applyBorder="1"/>
    <xf numFmtId="167" fontId="0" fillId="0" borderId="0" xfId="0" applyNumberFormat="1"/>
    <xf numFmtId="168" fontId="0" fillId="0" borderId="0" xfId="0" applyNumberFormat="1"/>
    <xf numFmtId="168" fontId="0" fillId="0" borderId="12" xfId="0" applyNumberFormat="1" applyBorder="1" applyProtection="1">
      <protection locked="0"/>
    </xf>
    <xf numFmtId="0" fontId="28" fillId="0" borderId="0" xfId="0" applyFont="1"/>
    <xf numFmtId="168" fontId="4" fillId="0" borderId="21" xfId="0" applyNumberFormat="1" applyFont="1" applyBorder="1"/>
    <xf numFmtId="169" fontId="4" fillId="0" borderId="21" xfId="0" applyNumberFormat="1" applyFont="1" applyBorder="1" applyProtection="1">
      <protection locked="0"/>
    </xf>
    <xf numFmtId="164" fontId="18" fillId="0" borderId="0" xfId="0" applyNumberFormat="1" applyFont="1" applyAlignment="1">
      <alignment horizontal="left"/>
    </xf>
    <xf numFmtId="3" fontId="0" fillId="2" borderId="12" xfId="0" applyNumberFormat="1" applyFill="1" applyBorder="1" applyAlignment="1">
      <alignment horizontal="center"/>
    </xf>
    <xf numFmtId="3" fontId="0" fillId="9" borderId="12" xfId="0" applyNumberFormat="1" applyFill="1" applyBorder="1" applyAlignment="1">
      <alignment horizontal="center"/>
    </xf>
    <xf numFmtId="2" fontId="18" fillId="6" borderId="11" xfId="0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 applyProtection="1">
      <protection locked="0"/>
    </xf>
    <xf numFmtId="0" fontId="0" fillId="0" borderId="51" xfId="0" applyBorder="1"/>
    <xf numFmtId="3" fontId="0" fillId="0" borderId="51" xfId="0" applyNumberFormat="1" applyBorder="1"/>
    <xf numFmtId="10" fontId="0" fillId="0" borderId="51" xfId="0" applyNumberFormat="1" applyBorder="1"/>
    <xf numFmtId="0" fontId="5" fillId="0" borderId="51" xfId="0" applyFont="1" applyBorder="1" applyAlignment="1" applyProtection="1">
      <alignment horizontal="center"/>
      <protection locked="0"/>
    </xf>
    <xf numFmtId="0" fontId="5" fillId="0" borderId="52" xfId="0" applyFont="1" applyBorder="1"/>
    <xf numFmtId="0" fontId="0" fillId="0" borderId="53" xfId="0" applyBorder="1"/>
    <xf numFmtId="10" fontId="5" fillId="0" borderId="4" xfId="0" applyNumberFormat="1" applyFont="1" applyBorder="1" applyAlignment="1" applyProtection="1">
      <alignment horizontal="center"/>
      <protection locked="0"/>
    </xf>
    <xf numFmtId="10" fontId="5" fillId="0" borderId="1" xfId="0" applyNumberFormat="1" applyFont="1" applyBorder="1" applyAlignment="1" applyProtection="1">
      <alignment horizontal="center"/>
      <protection locked="0"/>
    </xf>
    <xf numFmtId="10" fontId="5" fillId="0" borderId="10" xfId="0" applyNumberFormat="1" applyFont="1" applyBorder="1" applyAlignment="1" applyProtection="1">
      <alignment horizontal="center"/>
      <protection locked="0"/>
    </xf>
    <xf numFmtId="10" fontId="5" fillId="0" borderId="10" xfId="0" applyNumberFormat="1" applyFont="1" applyBorder="1" applyProtection="1">
      <protection locked="0"/>
    </xf>
    <xf numFmtId="0" fontId="32" fillId="0" borderId="0" xfId="0" applyFont="1"/>
    <xf numFmtId="3" fontId="5" fillId="2" borderId="9" xfId="0" applyNumberFormat="1" applyFont="1" applyFill="1" applyBorder="1"/>
    <xf numFmtId="3" fontId="5" fillId="2" borderId="12" xfId="0" applyNumberFormat="1" applyFont="1" applyFill="1" applyBorder="1"/>
    <xf numFmtId="3" fontId="5" fillId="2" borderId="18" xfId="0" applyNumberFormat="1" applyFont="1" applyFill="1" applyBorder="1"/>
    <xf numFmtId="0" fontId="5" fillId="2" borderId="12" xfId="0" applyFont="1" applyFill="1" applyBorder="1"/>
    <xf numFmtId="3" fontId="5" fillId="5" borderId="21" xfId="0" applyNumberFormat="1" applyFont="1" applyFill="1" applyBorder="1" applyProtection="1">
      <protection locked="0"/>
    </xf>
    <xf numFmtId="3" fontId="5" fillId="2" borderId="18" xfId="0" applyNumberFormat="1" applyFont="1" applyFill="1" applyBorder="1" applyProtection="1">
      <protection locked="0"/>
    </xf>
    <xf numFmtId="10" fontId="5" fillId="2" borderId="12" xfId="0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3" fontId="0" fillId="10" borderId="0" xfId="0" applyNumberFormat="1" applyFill="1"/>
    <xf numFmtId="0" fontId="0" fillId="10" borderId="0" xfId="0" applyFill="1"/>
    <xf numFmtId="3" fontId="0" fillId="11" borderId="0" xfId="0" applyNumberFormat="1" applyFill="1"/>
    <xf numFmtId="0" fontId="0" fillId="12" borderId="51" xfId="0" applyFill="1" applyBorder="1"/>
    <xf numFmtId="3" fontId="0" fillId="11" borderId="11" xfId="0" applyNumberFormat="1" applyFill="1" applyBorder="1"/>
    <xf numFmtId="3" fontId="0" fillId="11" borderId="10" xfId="0" applyNumberFormat="1" applyFill="1" applyBorder="1"/>
    <xf numFmtId="3" fontId="0" fillId="11" borderId="1" xfId="0" applyNumberFormat="1" applyFill="1" applyBorder="1"/>
    <xf numFmtId="3" fontId="0" fillId="11" borderId="2" xfId="0" applyNumberFormat="1" applyFill="1" applyBorder="1"/>
    <xf numFmtId="0" fontId="0" fillId="10" borderId="52" xfId="0" applyFill="1" applyBorder="1"/>
    <xf numFmtId="3" fontId="0" fillId="10" borderId="53" xfId="0" applyNumberFormat="1" applyFill="1" applyBorder="1"/>
    <xf numFmtId="3" fontId="0" fillId="11" borderId="53" xfId="0" applyNumberFormat="1" applyFill="1" applyBorder="1"/>
    <xf numFmtId="0" fontId="0" fillId="11" borderId="7" xfId="0" applyFill="1" applyBorder="1"/>
    <xf numFmtId="0" fontId="0" fillId="11" borderId="2" xfId="0" applyFill="1" applyBorder="1"/>
    <xf numFmtId="0" fontId="0" fillId="10" borderId="53" xfId="0" applyFill="1" applyBorder="1"/>
    <xf numFmtId="3" fontId="0" fillId="5" borderId="2" xfId="0" applyNumberFormat="1" applyFill="1" applyBorder="1" applyAlignment="1">
      <alignment horizontal="center"/>
    </xf>
    <xf numFmtId="3" fontId="0" fillId="0" borderId="54" xfId="0" applyNumberFormat="1" applyBorder="1"/>
    <xf numFmtId="3" fontId="5" fillId="0" borderId="52" xfId="0" applyNumberFormat="1" applyFont="1" applyBorder="1"/>
    <xf numFmtId="3" fontId="22" fillId="0" borderId="55" xfId="0" applyNumberFormat="1" applyFont="1" applyBorder="1"/>
    <xf numFmtId="0" fontId="5" fillId="0" borderId="55" xfId="0" applyFont="1" applyBorder="1"/>
    <xf numFmtId="3" fontId="23" fillId="0" borderId="53" xfId="0" applyNumberFormat="1" applyFont="1" applyBorder="1"/>
    <xf numFmtId="0" fontId="4" fillId="0" borderId="0" xfId="0" applyFont="1" applyAlignment="1">
      <alignment horizontal="left"/>
    </xf>
    <xf numFmtId="0" fontId="0" fillId="5" borderId="18" xfId="0" applyFill="1" applyBorder="1" applyAlignment="1">
      <alignment horizontal="center"/>
    </xf>
    <xf numFmtId="0" fontId="0" fillId="13" borderId="0" xfId="0" applyFill="1"/>
    <xf numFmtId="3" fontId="4" fillId="14" borderId="0" xfId="0" applyNumberFormat="1" applyFont="1" applyFill="1"/>
    <xf numFmtId="3" fontId="0" fillId="14" borderId="0" xfId="0" applyNumberFormat="1" applyFill="1"/>
    <xf numFmtId="3" fontId="0" fillId="15" borderId="10" xfId="0" applyNumberFormat="1" applyFill="1" applyBorder="1"/>
    <xf numFmtId="0" fontId="0" fillId="12" borderId="24" xfId="0" applyFill="1" applyBorder="1"/>
    <xf numFmtId="3" fontId="0" fillId="12" borderId="11" xfId="0" applyNumberFormat="1" applyFill="1" applyBorder="1"/>
    <xf numFmtId="3" fontId="0" fillId="12" borderId="12" xfId="0" applyNumberFormat="1" applyFill="1" applyBorder="1"/>
    <xf numFmtId="0" fontId="0" fillId="12" borderId="12" xfId="0" applyFill="1" applyBorder="1"/>
    <xf numFmtId="3" fontId="0" fillId="11" borderId="56" xfId="0" applyNumberFormat="1" applyFill="1" applyBorder="1"/>
    <xf numFmtId="3" fontId="0" fillId="16" borderId="51" xfId="0" applyNumberFormat="1" applyFill="1" applyBorder="1"/>
    <xf numFmtId="3" fontId="24" fillId="0" borderId="0" xfId="0" applyNumberFormat="1" applyFont="1"/>
    <xf numFmtId="10" fontId="0" fillId="0" borderId="51" xfId="0" applyNumberFormat="1" applyBorder="1" applyAlignment="1">
      <alignment horizontal="center"/>
    </xf>
    <xf numFmtId="3" fontId="0" fillId="0" borderId="11" xfId="0" applyNumberFormat="1" applyBorder="1"/>
    <xf numFmtId="10" fontId="0" fillId="0" borderId="13" xfId="0" applyNumberFormat="1" applyBorder="1" applyAlignment="1">
      <alignment horizontal="center"/>
    </xf>
    <xf numFmtId="3" fontId="0" fillId="2" borderId="10" xfId="0" applyNumberFormat="1" applyFill="1" applyBorder="1" applyAlignment="1">
      <alignment horizontal="left"/>
    </xf>
    <xf numFmtId="0" fontId="6" fillId="2" borderId="57" xfId="0" applyFont="1" applyFill="1" applyBorder="1"/>
    <xf numFmtId="164" fontId="9" fillId="2" borderId="58" xfId="0" applyNumberFormat="1" applyFont="1" applyFill="1" applyBorder="1" applyAlignment="1" applyProtection="1">
      <alignment horizontal="left"/>
      <protection locked="0"/>
    </xf>
    <xf numFmtId="0" fontId="0" fillId="2" borderId="59" xfId="0" applyFill="1" applyBorder="1"/>
    <xf numFmtId="3" fontId="6" fillId="2" borderId="60" xfId="0" applyNumberFormat="1" applyFont="1" applyFill="1" applyBorder="1"/>
    <xf numFmtId="0" fontId="8" fillId="2" borderId="61" xfId="0" applyFont="1" applyFill="1" applyBorder="1"/>
    <xf numFmtId="0" fontId="5" fillId="2" borderId="57" xfId="0" applyFont="1" applyFill="1" applyBorder="1"/>
    <xf numFmtId="0" fontId="5" fillId="2" borderId="59" xfId="0" applyFont="1" applyFill="1" applyBorder="1"/>
    <xf numFmtId="3" fontId="5" fillId="2" borderId="57" xfId="0" applyNumberFormat="1" applyFont="1" applyFill="1" applyBorder="1"/>
    <xf numFmtId="3" fontId="5" fillId="2" borderId="62" xfId="0" applyNumberFormat="1" applyFont="1" applyFill="1" applyBorder="1"/>
    <xf numFmtId="3" fontId="5" fillId="2" borderId="58" xfId="0" applyNumberFormat="1" applyFont="1" applyFill="1" applyBorder="1"/>
    <xf numFmtId="3" fontId="5" fillId="2" borderId="59" xfId="0" applyNumberFormat="1" applyFont="1" applyFill="1" applyBorder="1"/>
    <xf numFmtId="0" fontId="0" fillId="0" borderId="12" xfId="0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0"/>
      <rgbColor rgb="00EFEFE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381000</xdr:colOff>
      <xdr:row>1</xdr:row>
      <xdr:rowOff>34290</xdr:rowOff>
    </xdr:to>
    <xdr:pic>
      <xdr:nvPicPr>
        <xdr:cNvPr id="1056" name="Bildobjekt 2">
          <a:extLst>
            <a:ext uri="{FF2B5EF4-FFF2-40B4-BE49-F238E27FC236}">
              <a16:creationId xmlns:a16="http://schemas.microsoft.com/office/drawing/2014/main" id="{A8946AD9-94C7-2541-F539-2B2C387B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542925</xdr:colOff>
      <xdr:row>1</xdr:row>
      <xdr:rowOff>114300</xdr:rowOff>
    </xdr:to>
    <xdr:pic>
      <xdr:nvPicPr>
        <xdr:cNvPr id="2069" name="Bildobjekt 2">
          <a:extLst>
            <a:ext uri="{FF2B5EF4-FFF2-40B4-BE49-F238E27FC236}">
              <a16:creationId xmlns:a16="http://schemas.microsoft.com/office/drawing/2014/main" id="{F5817601-E710-6C8C-60A6-284176226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2</xdr:col>
      <xdr:colOff>552450</xdr:colOff>
      <xdr:row>1</xdr:row>
      <xdr:rowOff>152400</xdr:rowOff>
    </xdr:to>
    <xdr:pic>
      <xdr:nvPicPr>
        <xdr:cNvPr id="3093" name="Bildobjekt 2">
          <a:extLst>
            <a:ext uri="{FF2B5EF4-FFF2-40B4-BE49-F238E27FC236}">
              <a16:creationId xmlns:a16="http://schemas.microsoft.com/office/drawing/2014/main" id="{F432BAD4-EBF9-D644-E03E-5A3ADFD4C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428625</xdr:colOff>
      <xdr:row>2</xdr:row>
      <xdr:rowOff>28575</xdr:rowOff>
    </xdr:to>
    <xdr:pic>
      <xdr:nvPicPr>
        <xdr:cNvPr id="4126" name="Bildobjekt 2">
          <a:extLst>
            <a:ext uri="{FF2B5EF4-FFF2-40B4-BE49-F238E27FC236}">
              <a16:creationId xmlns:a16="http://schemas.microsoft.com/office/drawing/2014/main" id="{7E329BA8-7F6A-CADF-BE1A-D39FB9902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400050</xdr:colOff>
      <xdr:row>1</xdr:row>
      <xdr:rowOff>152400</xdr:rowOff>
    </xdr:to>
    <xdr:pic>
      <xdr:nvPicPr>
        <xdr:cNvPr id="5141" name="Bildobjekt 2">
          <a:extLst>
            <a:ext uri="{FF2B5EF4-FFF2-40B4-BE49-F238E27FC236}">
              <a16:creationId xmlns:a16="http://schemas.microsoft.com/office/drawing/2014/main" id="{D49EE318-4AED-21F9-38CC-0C351C63B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514350</xdr:colOff>
      <xdr:row>1</xdr:row>
      <xdr:rowOff>152400</xdr:rowOff>
    </xdr:to>
    <xdr:pic>
      <xdr:nvPicPr>
        <xdr:cNvPr id="6165" name="Bildobjekt 1">
          <a:extLst>
            <a:ext uri="{FF2B5EF4-FFF2-40B4-BE49-F238E27FC236}">
              <a16:creationId xmlns:a16="http://schemas.microsoft.com/office/drawing/2014/main" id="{1B4FFF85-ED43-E9B3-6830-C5A64BB4A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61C9-1425-453A-B329-1CCF59D46D93}">
  <dimension ref="A1:AD230"/>
  <sheetViews>
    <sheetView showGridLines="0" showZeros="0" tabSelected="1" zoomScale="110" zoomScaleNormal="110" workbookViewId="0">
      <selection activeCell="F4" sqref="F4"/>
    </sheetView>
  </sheetViews>
  <sheetFormatPr defaultRowHeight="13.2" x14ac:dyDescent="0.25"/>
  <cols>
    <col min="1" max="1" width="17.33203125" customWidth="1"/>
    <col min="2" max="2" width="4.44140625" customWidth="1"/>
    <col min="3" max="5" width="11.5546875" customWidth="1"/>
    <col min="6" max="6" width="10.44140625" customWidth="1"/>
    <col min="7" max="7" width="12.88671875" customWidth="1"/>
    <col min="8" max="8" width="14.6640625" customWidth="1"/>
    <col min="9" max="9" width="7.88671875" customWidth="1"/>
    <col min="10" max="11" width="9.109375" hidden="1" customWidth="1"/>
    <col min="12" max="12" width="9.109375" customWidth="1"/>
  </cols>
  <sheetData>
    <row r="1" spans="1:23" ht="22.5" customHeight="1" x14ac:dyDescent="0.3">
      <c r="A1" s="1"/>
      <c r="B1" s="2"/>
      <c r="C1" s="2"/>
      <c r="D1" s="6" t="s">
        <v>0</v>
      </c>
      <c r="E1" s="4"/>
      <c r="F1" s="2"/>
      <c r="G1" s="2"/>
      <c r="H1" s="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7.25" customHeight="1" x14ac:dyDescent="0.4">
      <c r="A2" s="1"/>
      <c r="B2" s="2"/>
      <c r="C2" s="2"/>
      <c r="D2" s="3"/>
      <c r="E2" s="4"/>
      <c r="F2" s="2"/>
      <c r="G2" s="2"/>
      <c r="H2" s="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13" customFormat="1" ht="10.5" customHeight="1" x14ac:dyDescent="0.2">
      <c r="A3" s="7" t="s">
        <v>1</v>
      </c>
      <c r="B3" s="8"/>
      <c r="C3" s="9" t="s">
        <v>2</v>
      </c>
      <c r="D3" s="10"/>
      <c r="E3" s="10"/>
      <c r="F3" s="7" t="s">
        <v>3</v>
      </c>
      <c r="G3" s="10"/>
      <c r="H3" s="392" t="s">
        <v>4</v>
      </c>
      <c r="I3" s="11"/>
      <c r="J3" s="11"/>
      <c r="K3" s="12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x14ac:dyDescent="0.25">
      <c r="A4" s="14" t="s">
        <v>5</v>
      </c>
      <c r="B4" s="15"/>
      <c r="C4" s="16"/>
      <c r="D4" s="17"/>
      <c r="E4" s="18"/>
      <c r="F4" s="19" t="s">
        <v>320</v>
      </c>
      <c r="G4" s="20"/>
      <c r="H4" s="393">
        <v>46097</v>
      </c>
      <c r="I4" s="5"/>
      <c r="J4" s="5"/>
      <c r="K4" s="2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22"/>
      <c r="B5" s="23"/>
      <c r="C5" s="24"/>
      <c r="D5" s="25"/>
      <c r="E5" s="26"/>
      <c r="F5" s="27"/>
      <c r="G5" s="28"/>
      <c r="H5" s="394"/>
      <c r="I5" s="5"/>
      <c r="J5" s="5"/>
      <c r="K5" s="2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s="13" customFormat="1" ht="9.75" customHeight="1" x14ac:dyDescent="0.2">
      <c r="A6" s="29" t="s">
        <v>6</v>
      </c>
      <c r="B6" s="30"/>
      <c r="C6" s="29" t="s">
        <v>7</v>
      </c>
      <c r="D6" s="31"/>
      <c r="E6" s="30"/>
      <c r="F6" s="32" t="s">
        <v>8</v>
      </c>
      <c r="G6" s="33"/>
      <c r="H6" s="395"/>
      <c r="I6" s="11"/>
      <c r="J6" s="11"/>
      <c r="K6" s="1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7" customFormat="1" ht="12" x14ac:dyDescent="0.25">
      <c r="A7" s="24" t="s">
        <v>317</v>
      </c>
      <c r="B7" s="26"/>
      <c r="C7" s="24" t="s">
        <v>313</v>
      </c>
      <c r="D7" s="25"/>
      <c r="E7" s="26"/>
      <c r="F7" s="34" t="s">
        <v>312</v>
      </c>
      <c r="G7" s="28"/>
      <c r="H7" s="396"/>
      <c r="I7" s="35"/>
      <c r="J7" s="35"/>
      <c r="K7" s="36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x14ac:dyDescent="0.25">
      <c r="A8" s="7" t="s">
        <v>9</v>
      </c>
      <c r="B8" s="38"/>
      <c r="C8" s="330" t="s">
        <v>10</v>
      </c>
      <c r="D8" s="330" t="s">
        <v>273</v>
      </c>
      <c r="E8" s="330" t="s">
        <v>11</v>
      </c>
      <c r="F8" s="7" t="s">
        <v>12</v>
      </c>
      <c r="G8" s="38"/>
      <c r="H8" s="397" t="s">
        <v>13</v>
      </c>
      <c r="I8" s="5"/>
      <c r="J8" s="5"/>
      <c r="K8" s="2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 x14ac:dyDescent="0.25">
      <c r="A9" s="40" t="s">
        <v>14</v>
      </c>
      <c r="B9" s="41"/>
      <c r="C9" s="331" t="s">
        <v>15</v>
      </c>
      <c r="D9" s="331" t="s">
        <v>274</v>
      </c>
      <c r="E9" s="331" t="s">
        <v>16</v>
      </c>
      <c r="F9" s="42" t="s">
        <v>17</v>
      </c>
      <c r="G9" s="41"/>
      <c r="H9" s="398" t="s">
        <v>18</v>
      </c>
      <c r="I9" s="5"/>
      <c r="J9" s="5"/>
      <c r="K9" s="2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" customHeight="1" x14ac:dyDescent="0.25">
      <c r="A10" s="7" t="s">
        <v>19</v>
      </c>
      <c r="B10" s="38"/>
      <c r="C10" s="43"/>
      <c r="D10" s="44"/>
      <c r="E10" s="44">
        <v>3670000</v>
      </c>
      <c r="F10" s="45" t="s">
        <v>319</v>
      </c>
      <c r="G10" s="46"/>
      <c r="H10" s="399"/>
      <c r="I10" s="5"/>
      <c r="J10" s="5"/>
      <c r="K10" s="2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" customHeight="1" x14ac:dyDescent="0.25">
      <c r="A11" s="7" t="s">
        <v>7</v>
      </c>
      <c r="B11" s="38"/>
      <c r="C11" s="43"/>
      <c r="D11" s="44"/>
      <c r="E11" s="44"/>
      <c r="F11" s="45"/>
      <c r="G11" s="46"/>
      <c r="H11" s="399"/>
      <c r="I11" s="5"/>
      <c r="J11" s="5"/>
      <c r="K11" s="2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" customHeight="1" x14ac:dyDescent="0.25">
      <c r="A12" s="47" t="s">
        <v>20</v>
      </c>
      <c r="B12" s="48"/>
      <c r="C12" s="49"/>
      <c r="D12" s="50"/>
      <c r="E12" s="49">
        <f>'Spec total'!H46</f>
        <v>0</v>
      </c>
      <c r="F12" s="51" t="s">
        <v>314</v>
      </c>
      <c r="G12" s="52"/>
      <c r="H12" s="400"/>
      <c r="I12" s="5"/>
      <c r="J12" s="5"/>
      <c r="K12" s="21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5" customHeight="1" x14ac:dyDescent="0.25">
      <c r="A13" s="53" t="s">
        <v>21</v>
      </c>
      <c r="B13" s="54"/>
      <c r="C13" s="55" t="s">
        <v>9</v>
      </c>
      <c r="D13" s="56"/>
      <c r="E13" s="57"/>
      <c r="F13" s="58" t="s">
        <v>22</v>
      </c>
      <c r="G13" s="59"/>
      <c r="H13" s="401"/>
      <c r="I13" s="5"/>
      <c r="J13" s="5"/>
      <c r="K13" s="2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5">
      <c r="A14" s="40" t="s">
        <v>23</v>
      </c>
      <c r="B14" s="61"/>
      <c r="C14" s="60">
        <f>SUM(C10:C12)</f>
        <v>0</v>
      </c>
      <c r="D14" s="60">
        <f>SUM(D10:D12)</f>
        <v>0</v>
      </c>
      <c r="E14" s="60">
        <f>SUM(E10:E12)</f>
        <v>3670000</v>
      </c>
      <c r="F14" s="62">
        <f>C14+D14+E14</f>
        <v>3670000</v>
      </c>
      <c r="G14" s="63"/>
      <c r="H14" s="402"/>
      <c r="I14" s="5"/>
      <c r="J14" s="5"/>
      <c r="K14" s="21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5" customHeight="1" x14ac:dyDescent="0.25">
      <c r="A15" s="7" t="s">
        <v>24</v>
      </c>
      <c r="B15" s="38"/>
      <c r="C15" s="44"/>
      <c r="D15" s="44"/>
      <c r="E15" s="44" t="s">
        <v>9</v>
      </c>
      <c r="F15" s="65"/>
      <c r="G15" s="66"/>
      <c r="H15" s="399"/>
      <c r="I15" s="5"/>
      <c r="J15" s="5"/>
      <c r="K15" s="21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" customHeight="1" x14ac:dyDescent="0.25">
      <c r="A16" s="7" t="s">
        <v>25</v>
      </c>
      <c r="B16" s="38"/>
      <c r="C16" s="44"/>
      <c r="D16" s="44"/>
      <c r="E16" s="44">
        <v>0</v>
      </c>
      <c r="F16" s="51" t="s">
        <v>307</v>
      </c>
      <c r="G16" s="52"/>
      <c r="H16" s="399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4" ht="15" customHeight="1" x14ac:dyDescent="0.25">
      <c r="A17" s="7" t="s">
        <v>26</v>
      </c>
      <c r="B17" s="38"/>
      <c r="C17" s="44"/>
      <c r="D17" s="44"/>
      <c r="E17" s="44"/>
      <c r="F17" s="51" t="s">
        <v>307</v>
      </c>
      <c r="G17" s="52"/>
      <c r="H17" s="399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4" ht="15" customHeight="1" x14ac:dyDescent="0.25">
      <c r="A18" s="7" t="s">
        <v>27</v>
      </c>
      <c r="B18" s="38"/>
      <c r="C18" s="44"/>
      <c r="D18" s="44"/>
      <c r="E18" s="44"/>
      <c r="F18" s="51" t="s">
        <v>307</v>
      </c>
      <c r="G18" s="52"/>
      <c r="H18" s="39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4" ht="15" customHeight="1" x14ac:dyDescent="0.25">
      <c r="A19" s="7" t="s">
        <v>28</v>
      </c>
      <c r="B19" s="38"/>
      <c r="C19" s="44"/>
      <c r="D19" s="44"/>
      <c r="E19" s="44" t="s">
        <v>9</v>
      </c>
      <c r="F19" s="51" t="s">
        <v>307</v>
      </c>
      <c r="G19" s="52"/>
      <c r="H19" s="39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4" ht="15" customHeight="1" x14ac:dyDescent="0.25">
      <c r="A20" s="7" t="s">
        <v>29</v>
      </c>
      <c r="B20" s="38"/>
      <c r="C20" s="44"/>
      <c r="D20" s="44"/>
      <c r="E20" s="44"/>
      <c r="F20" s="51" t="s">
        <v>307</v>
      </c>
      <c r="G20" s="52"/>
      <c r="H20" s="399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4" ht="15" customHeight="1" x14ac:dyDescent="0.25">
      <c r="A21" s="7" t="s">
        <v>308</v>
      </c>
      <c r="B21" s="38"/>
      <c r="C21" s="44"/>
      <c r="D21" s="44"/>
      <c r="E21" s="44"/>
      <c r="F21" s="51" t="s">
        <v>307</v>
      </c>
      <c r="G21" s="52"/>
      <c r="H21" s="400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4" ht="15" customHeight="1" x14ac:dyDescent="0.25">
      <c r="A22" s="47" t="s">
        <v>30</v>
      </c>
      <c r="B22" s="48"/>
      <c r="C22" s="50"/>
      <c r="D22" s="50"/>
      <c r="E22" s="50"/>
      <c r="F22" s="51" t="s">
        <v>307</v>
      </c>
      <c r="G22" s="52"/>
      <c r="H22" s="34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4" ht="15" customHeight="1" x14ac:dyDescent="0.25">
      <c r="A23" s="7" t="s">
        <v>31</v>
      </c>
      <c r="B23" s="67"/>
      <c r="C23" s="44"/>
      <c r="D23" s="44"/>
      <c r="E23" s="44"/>
      <c r="F23" s="51" t="s">
        <v>307</v>
      </c>
      <c r="G23" s="68"/>
      <c r="H23" s="3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9"/>
    </row>
    <row r="24" spans="1:24" ht="15" customHeight="1" x14ac:dyDescent="0.25">
      <c r="A24" s="70" t="s">
        <v>309</v>
      </c>
      <c r="B24" s="67"/>
      <c r="C24" s="44"/>
      <c r="D24" s="44"/>
      <c r="E24" s="44"/>
      <c r="F24" s="71" t="s">
        <v>310</v>
      </c>
      <c r="G24" s="68"/>
      <c r="H24" s="3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9"/>
    </row>
    <row r="25" spans="1:24" ht="15" customHeight="1" x14ac:dyDescent="0.25">
      <c r="A25" s="72"/>
      <c r="B25" s="73"/>
      <c r="C25" s="50"/>
      <c r="D25" s="50"/>
      <c r="E25" s="50"/>
      <c r="F25" s="71"/>
      <c r="G25" s="68"/>
      <c r="H25" s="34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4" ht="15" customHeight="1" x14ac:dyDescent="0.25">
      <c r="A26" s="53" t="s">
        <v>32</v>
      </c>
      <c r="B26" s="54"/>
      <c r="C26" s="56"/>
      <c r="D26" s="56"/>
      <c r="E26" s="56"/>
      <c r="F26" s="58" t="s">
        <v>22</v>
      </c>
      <c r="G26" s="59"/>
      <c r="H26" s="5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4" ht="15" customHeight="1" x14ac:dyDescent="0.25">
      <c r="A27" s="40" t="s">
        <v>33</v>
      </c>
      <c r="B27" s="61"/>
      <c r="C27" s="64">
        <f>SUM(C15:C25)</f>
        <v>0</v>
      </c>
      <c r="D27" s="64">
        <f>SUM(D15:D25)</f>
        <v>0</v>
      </c>
      <c r="E27" s="64">
        <f>SUM(E15:E25)</f>
        <v>0</v>
      </c>
      <c r="F27" s="62">
        <f>C27+D27+E27</f>
        <v>0</v>
      </c>
      <c r="G27" s="63"/>
      <c r="H27" s="34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4" ht="15" customHeight="1" x14ac:dyDescent="0.25">
      <c r="A28" s="47" t="s">
        <v>34</v>
      </c>
      <c r="B28" s="48"/>
      <c r="C28" s="50"/>
      <c r="D28" s="50">
        <v>1550000</v>
      </c>
      <c r="E28" s="50">
        <v>0</v>
      </c>
      <c r="F28" s="65"/>
      <c r="G28" s="66"/>
      <c r="H28" s="34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4" ht="15" customHeight="1" x14ac:dyDescent="0.25">
      <c r="A29" s="47" t="s">
        <v>35</v>
      </c>
      <c r="B29" s="48"/>
      <c r="C29" s="49"/>
      <c r="D29" s="49">
        <f>ROUND(IF(D28&lt;1,0,D28*0.015+825+50),-2)</f>
        <v>24100</v>
      </c>
      <c r="E29" s="49">
        <f>ROUND(IF(E28&lt;1,0,E28*0.015+825+50),-2)</f>
        <v>0</v>
      </c>
      <c r="F29" s="45"/>
      <c r="G29" s="46"/>
      <c r="H29" s="34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4" ht="15" customHeight="1" x14ac:dyDescent="0.25">
      <c r="A30" s="47" t="s">
        <v>36</v>
      </c>
      <c r="B30" s="48"/>
      <c r="C30" s="50"/>
      <c r="D30" s="50">
        <v>40000</v>
      </c>
      <c r="E30" s="50" t="s">
        <v>9</v>
      </c>
      <c r="F30" s="45"/>
      <c r="G30" s="46"/>
      <c r="H30" s="34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4" ht="15" customHeight="1" x14ac:dyDescent="0.25">
      <c r="A31" s="47" t="s">
        <v>303</v>
      </c>
      <c r="B31" s="48"/>
      <c r="C31" s="50"/>
      <c r="D31" s="50">
        <v>25000</v>
      </c>
      <c r="E31" s="50"/>
      <c r="F31" s="45" t="s">
        <v>316</v>
      </c>
      <c r="G31" s="46"/>
      <c r="H31" s="34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4" ht="15" customHeight="1" x14ac:dyDescent="0.25">
      <c r="A32" s="47" t="s">
        <v>37</v>
      </c>
      <c r="B32" s="48"/>
      <c r="C32" s="50"/>
      <c r="D32" s="50">
        <v>180000</v>
      </c>
      <c r="E32" s="50" t="s">
        <v>9</v>
      </c>
      <c r="F32" s="45" t="s">
        <v>315</v>
      </c>
      <c r="G32" s="46"/>
      <c r="H32" s="34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5" customHeight="1" x14ac:dyDescent="0.25">
      <c r="A33" s="47" t="s">
        <v>38</v>
      </c>
      <c r="B33" s="48"/>
      <c r="C33" s="50"/>
      <c r="D33" s="50">
        <v>50000</v>
      </c>
      <c r="E33" s="50" t="s">
        <v>9</v>
      </c>
      <c r="F33" s="45"/>
      <c r="G33" s="46"/>
      <c r="H33" s="34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" customHeight="1" x14ac:dyDescent="0.25">
      <c r="A34" s="47" t="s">
        <v>301</v>
      </c>
      <c r="B34" s="48"/>
      <c r="C34" s="50"/>
      <c r="D34" s="50">
        <v>25000</v>
      </c>
      <c r="E34" s="50"/>
      <c r="F34" s="45" t="s">
        <v>305</v>
      </c>
      <c r="G34" s="46"/>
      <c r="H34" s="34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5" customHeight="1" x14ac:dyDescent="0.25">
      <c r="A35" s="47" t="s">
        <v>39</v>
      </c>
      <c r="B35" s="48"/>
      <c r="C35" s="49"/>
      <c r="D35" s="49"/>
      <c r="E35" s="49"/>
      <c r="F35" s="391"/>
      <c r="G35" s="46"/>
      <c r="H35" s="34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" customHeight="1" x14ac:dyDescent="0.25">
      <c r="A36" s="47" t="s">
        <v>304</v>
      </c>
      <c r="B36" s="48"/>
      <c r="C36" s="50"/>
      <c r="D36" s="50">
        <v>25000</v>
      </c>
      <c r="E36" s="50"/>
      <c r="F36" s="45"/>
      <c r="G36" s="46"/>
      <c r="H36" s="34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5" customHeight="1" x14ac:dyDescent="0.25">
      <c r="A37" s="74" t="s">
        <v>311</v>
      </c>
      <c r="B37" s="48"/>
      <c r="C37" s="50"/>
      <c r="D37" s="50">
        <v>295000</v>
      </c>
      <c r="E37" s="50"/>
      <c r="F37" s="45" t="s">
        <v>318</v>
      </c>
      <c r="G37" s="46"/>
      <c r="H37" s="34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" customHeight="1" x14ac:dyDescent="0.25">
      <c r="A38" s="47" t="s">
        <v>263</v>
      </c>
      <c r="B38" s="48"/>
      <c r="C38" s="50"/>
      <c r="D38" s="50">
        <v>24000</v>
      </c>
      <c r="E38" s="50">
        <v>0</v>
      </c>
      <c r="F38" s="45"/>
      <c r="G38" s="46"/>
      <c r="H38" s="346"/>
      <c r="I38" s="5"/>
      <c r="J38" t="s">
        <v>40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5" customHeight="1" x14ac:dyDescent="0.25">
      <c r="A39" s="53" t="s">
        <v>41</v>
      </c>
      <c r="B39" s="54"/>
      <c r="C39" s="56"/>
      <c r="D39" s="56"/>
      <c r="E39" s="56"/>
      <c r="F39" s="58" t="s">
        <v>22</v>
      </c>
      <c r="G39" s="59"/>
      <c r="H39" s="57"/>
      <c r="I39" s="5"/>
      <c r="J39" s="75">
        <f>F14+F27+F40+50000-Bokalkyl!H24</f>
        <v>5958100</v>
      </c>
      <c r="K39" s="5" t="s">
        <v>42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" customHeight="1" x14ac:dyDescent="0.25">
      <c r="A40" s="40" t="s">
        <v>43</v>
      </c>
      <c r="B40" s="61"/>
      <c r="C40" s="64">
        <f>SUM(C28:C38)</f>
        <v>0</v>
      </c>
      <c r="D40" s="64">
        <f>SUM(D28:D38)</f>
        <v>2238100</v>
      </c>
      <c r="E40" s="64">
        <f>SUM(E28:E38)</f>
        <v>0</v>
      </c>
      <c r="F40" s="62">
        <f>C40+D40+E40</f>
        <v>2238100</v>
      </c>
      <c r="G40" s="63"/>
      <c r="H40" s="347"/>
      <c r="I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5" customHeight="1" x14ac:dyDescent="0.25">
      <c r="A41" s="7" t="s">
        <v>44</v>
      </c>
      <c r="B41" s="38"/>
      <c r="C41" s="43"/>
      <c r="D41" s="49"/>
      <c r="E41" s="43"/>
      <c r="F41" s="65"/>
      <c r="G41" s="66"/>
      <c r="H41" s="345"/>
      <c r="I41" s="5"/>
      <c r="J41" s="76">
        <f>(F14+F27)</f>
        <v>3670000</v>
      </c>
      <c r="K41" s="5" t="s">
        <v>45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" customHeight="1" x14ac:dyDescent="0.25">
      <c r="A42" s="7" t="s">
        <v>46</v>
      </c>
      <c r="B42" s="77">
        <v>4</v>
      </c>
      <c r="C42" s="43"/>
      <c r="D42" s="78"/>
      <c r="E42" s="43"/>
      <c r="F42" s="45" t="s">
        <v>47</v>
      </c>
      <c r="G42" s="46"/>
      <c r="H42" s="345"/>
      <c r="I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5" customHeight="1" x14ac:dyDescent="0.25">
      <c r="A43" s="47" t="s">
        <v>48</v>
      </c>
      <c r="B43" s="48"/>
      <c r="C43" s="43"/>
      <c r="D43" s="49">
        <f>-TRUNC(D42*0.3,-2)</f>
        <v>0</v>
      </c>
      <c r="E43" s="49"/>
      <c r="F43" s="45"/>
      <c r="G43" s="46"/>
      <c r="H43" s="345"/>
      <c r="I43" s="5"/>
      <c r="J43" s="75">
        <f>F40</f>
        <v>2238100</v>
      </c>
      <c r="K43" s="5" t="s">
        <v>49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" customHeight="1" x14ac:dyDescent="0.25">
      <c r="A44" s="53" t="s">
        <v>21</v>
      </c>
      <c r="B44" s="79"/>
      <c r="C44" s="39"/>
      <c r="D44" s="80"/>
      <c r="E44" s="56"/>
      <c r="F44" s="58" t="s">
        <v>22</v>
      </c>
      <c r="G44" s="59"/>
      <c r="H44" s="5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" customHeight="1" x14ac:dyDescent="0.25">
      <c r="A45" s="40" t="s">
        <v>50</v>
      </c>
      <c r="B45" s="81"/>
      <c r="C45" s="64">
        <f>SUM(C41:C43)</f>
        <v>0</v>
      </c>
      <c r="D45" s="82">
        <f>SUM(D41:D43)</f>
        <v>0</v>
      </c>
      <c r="E45" s="64">
        <f>SUM(E41:E43)</f>
        <v>0</v>
      </c>
      <c r="F45" s="62">
        <f>C45+D45+E45</f>
        <v>0</v>
      </c>
      <c r="G45" s="63"/>
      <c r="H45" s="34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5" customHeight="1" x14ac:dyDescent="0.25">
      <c r="A46" s="7" t="s">
        <v>51</v>
      </c>
      <c r="B46" s="38"/>
      <c r="C46" s="83"/>
      <c r="D46" s="44"/>
      <c r="E46" s="44"/>
      <c r="F46" s="65"/>
      <c r="G46" s="66"/>
      <c r="H46" s="34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5" customHeight="1" x14ac:dyDescent="0.25">
      <c r="A47" s="47" t="s">
        <v>52</v>
      </c>
      <c r="B47" s="48"/>
      <c r="C47" s="84"/>
      <c r="D47" s="84"/>
      <c r="E47" s="84"/>
      <c r="F47" s="85" t="s">
        <v>53</v>
      </c>
      <c r="G47" s="86"/>
      <c r="H47" s="34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5">
      <c r="A48" s="53" t="s">
        <v>54</v>
      </c>
      <c r="B48" s="80"/>
      <c r="C48" s="56"/>
      <c r="D48" s="56"/>
      <c r="E48" s="56"/>
      <c r="F48" s="58" t="s">
        <v>22</v>
      </c>
      <c r="G48" s="59"/>
      <c r="H48" s="5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25">
      <c r="A49" s="40" t="s">
        <v>55</v>
      </c>
      <c r="B49" s="41"/>
      <c r="C49" s="64">
        <f>SUM(C46:C47)</f>
        <v>0</v>
      </c>
      <c r="D49" s="64">
        <f>SUM(D46:D47)</f>
        <v>0</v>
      </c>
      <c r="E49" s="64">
        <f>SUM(E46:E47)</f>
        <v>0</v>
      </c>
      <c r="F49" s="62">
        <f>C49+D49+E49</f>
        <v>0</v>
      </c>
      <c r="G49" s="63"/>
      <c r="H49" s="34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25">
      <c r="A50" s="87"/>
      <c r="B50" s="67"/>
      <c r="C50" s="87"/>
      <c r="D50" s="88"/>
      <c r="E50" s="67"/>
      <c r="F50" s="58" t="s">
        <v>56</v>
      </c>
      <c r="G50" s="89"/>
      <c r="H50" s="3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25">
      <c r="A51" s="40" t="s">
        <v>57</v>
      </c>
      <c r="B51" s="41"/>
      <c r="C51" s="42"/>
      <c r="D51" s="90"/>
      <c r="E51" s="41"/>
      <c r="F51" s="62">
        <f>F49+F45+F40+F27+F14</f>
        <v>5908100</v>
      </c>
      <c r="G51" s="63"/>
      <c r="H51" s="350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25">
      <c r="A52" s="2" t="s">
        <v>272</v>
      </c>
      <c r="B52" s="93"/>
      <c r="C52" s="93"/>
      <c r="D52" s="93"/>
      <c r="E52" s="93"/>
      <c r="F52" s="332"/>
      <c r="G52" s="332"/>
      <c r="H52" s="33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5">
      <c r="A53" s="2" t="s">
        <v>271</v>
      </c>
      <c r="B53" s="93"/>
      <c r="C53" s="93"/>
      <c r="D53" s="93"/>
      <c r="E53" s="93"/>
      <c r="F53" s="332"/>
      <c r="G53" s="332"/>
      <c r="H53" s="33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0.5" customHeight="1" x14ac:dyDescent="0.25">
      <c r="A54" s="91" t="s">
        <v>302</v>
      </c>
      <c r="B54" s="2"/>
      <c r="C54" s="2"/>
      <c r="D54" s="2"/>
      <c r="E54" s="2"/>
      <c r="F54" s="2"/>
      <c r="G54" s="2"/>
      <c r="H54" s="2"/>
    </row>
    <row r="55" spans="1:23" x14ac:dyDescent="0.25">
      <c r="A55" s="2"/>
      <c r="B55" s="2"/>
      <c r="C55" s="2"/>
      <c r="D55" s="2"/>
      <c r="E55" s="2"/>
      <c r="F55" s="2"/>
      <c r="G55" s="2"/>
      <c r="H55" s="2"/>
    </row>
    <row r="56" spans="1:23" x14ac:dyDescent="0.25">
      <c r="A56" s="2"/>
      <c r="B56" s="2"/>
      <c r="C56" s="2"/>
      <c r="D56" s="2"/>
      <c r="E56" s="2"/>
      <c r="F56" s="2"/>
      <c r="G56" s="2"/>
      <c r="H56" s="2"/>
    </row>
    <row r="57" spans="1:23" x14ac:dyDescent="0.25">
      <c r="A57" s="2"/>
      <c r="B57" s="2"/>
      <c r="C57" s="2"/>
      <c r="D57" s="2"/>
      <c r="E57" s="2"/>
      <c r="F57" s="2"/>
      <c r="G57" s="2"/>
      <c r="H57" s="2"/>
    </row>
    <row r="58" spans="1:23" x14ac:dyDescent="0.25">
      <c r="A58" s="2"/>
      <c r="B58" s="2"/>
      <c r="C58" s="2"/>
      <c r="D58" s="2"/>
      <c r="E58" s="2"/>
      <c r="F58" s="2"/>
      <c r="G58" s="2"/>
      <c r="H58" s="2"/>
    </row>
    <row r="59" spans="1:23" x14ac:dyDescent="0.25">
      <c r="B59" s="2"/>
      <c r="C59" s="2"/>
      <c r="D59" s="2"/>
      <c r="E59" s="2"/>
      <c r="F59" s="2"/>
      <c r="G59" s="2"/>
      <c r="H59" s="2"/>
    </row>
    <row r="120" spans="1:23" ht="12.75" customHeight="1" x14ac:dyDescent="0.25">
      <c r="A120" s="92"/>
      <c r="B120" s="13"/>
      <c r="C120" s="93"/>
      <c r="D120" s="93"/>
      <c r="E120" s="93"/>
      <c r="F120" s="94"/>
      <c r="G120" s="94"/>
      <c r="H120" s="9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77" spans="1:30" x14ac:dyDescent="0.25">
      <c r="A177" s="5"/>
      <c r="B177" s="5"/>
      <c r="C177" s="5"/>
      <c r="D177" s="5"/>
      <c r="E177" s="5"/>
      <c r="F177" s="5"/>
      <c r="G177" s="95"/>
      <c r="H177" s="95"/>
      <c r="I177" s="95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5"/>
      <c r="AA177" s="5"/>
      <c r="AB177" s="5"/>
      <c r="AC177" s="5"/>
      <c r="AD177" s="5"/>
    </row>
    <row r="178" spans="1:30" x14ac:dyDescent="0.25">
      <c r="A178" s="5"/>
      <c r="B178" s="5"/>
      <c r="C178" s="5"/>
      <c r="D178" s="5"/>
      <c r="E178" s="5"/>
      <c r="F178" s="5"/>
      <c r="G178" s="5"/>
      <c r="H178" s="95"/>
      <c r="I178" s="5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5"/>
      <c r="AA178" s="5"/>
      <c r="AB178" s="5"/>
      <c r="AC178" s="5"/>
      <c r="AD178" s="5"/>
    </row>
    <row r="179" spans="1:30" x14ac:dyDescent="0.25">
      <c r="A179" s="5"/>
      <c r="B179" s="5"/>
      <c r="C179" s="5"/>
      <c r="D179" s="5"/>
      <c r="E179" s="5"/>
      <c r="F179" s="5"/>
      <c r="G179" s="95"/>
      <c r="H179" s="5"/>
      <c r="I179" s="95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5"/>
      <c r="AA179" s="5"/>
      <c r="AB179" s="5"/>
      <c r="AC179" s="5"/>
      <c r="AD179" s="5"/>
    </row>
    <row r="180" spans="1:30" x14ac:dyDescent="0.25">
      <c r="A180" s="5"/>
      <c r="B180" s="5"/>
      <c r="C180" s="5"/>
      <c r="D180" s="5"/>
      <c r="E180" s="5"/>
      <c r="F180" s="5"/>
      <c r="G180" s="95"/>
      <c r="H180" s="5"/>
      <c r="I180" s="95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5"/>
      <c r="AA180" s="5"/>
      <c r="AB180" s="5"/>
      <c r="AC180" s="5"/>
      <c r="AD180" s="5"/>
    </row>
    <row r="181" spans="1:30" x14ac:dyDescent="0.25">
      <c r="A181" s="5"/>
      <c r="B181" s="5"/>
      <c r="C181" s="5"/>
      <c r="D181" s="5"/>
      <c r="E181" s="5"/>
      <c r="F181" s="5"/>
      <c r="G181" s="95"/>
      <c r="H181" s="5"/>
      <c r="I181" s="95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5"/>
      <c r="AA181" s="5"/>
      <c r="AB181" s="5"/>
      <c r="AC181" s="5"/>
      <c r="AD181" s="5"/>
    </row>
    <row r="182" spans="1:30" x14ac:dyDescent="0.25">
      <c r="A182" s="5"/>
      <c r="B182" s="5"/>
      <c r="C182" s="5"/>
      <c r="D182" s="5"/>
      <c r="E182" s="5"/>
      <c r="F182" s="5"/>
      <c r="G182" s="95"/>
      <c r="H182" s="5"/>
      <c r="I182" s="95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5"/>
      <c r="AA182" s="5"/>
      <c r="AB182" s="5"/>
      <c r="AC182" s="5"/>
      <c r="AD182" s="5"/>
    </row>
    <row r="183" spans="1:30" x14ac:dyDescent="0.25">
      <c r="A183" s="5"/>
      <c r="B183" s="5"/>
      <c r="C183" s="5"/>
      <c r="D183" s="5"/>
      <c r="E183" s="5"/>
      <c r="F183" s="5"/>
      <c r="G183" s="95"/>
      <c r="H183" s="5"/>
      <c r="I183" s="95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5"/>
      <c r="AA183" s="5"/>
      <c r="AB183" s="5"/>
      <c r="AC183" s="5"/>
      <c r="AD183" s="5"/>
    </row>
    <row r="184" spans="1:30" x14ac:dyDescent="0.25">
      <c r="A184" s="5"/>
      <c r="B184" s="5"/>
      <c r="C184" s="5"/>
      <c r="D184" s="5"/>
      <c r="E184" s="5"/>
      <c r="F184" s="5"/>
      <c r="G184" s="95"/>
      <c r="H184" s="5"/>
      <c r="I184" s="95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5"/>
      <c r="AA184" s="5"/>
      <c r="AB184" s="5"/>
      <c r="AC184" s="5"/>
      <c r="AD184" s="5"/>
    </row>
    <row r="185" spans="1:30" x14ac:dyDescent="0.25">
      <c r="A185" s="5"/>
      <c r="B185" s="5"/>
      <c r="C185" s="5"/>
      <c r="D185" s="5"/>
      <c r="E185" s="5"/>
      <c r="F185" s="5"/>
      <c r="G185" s="95"/>
      <c r="H185" s="5"/>
      <c r="I185" s="95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5"/>
      <c r="AA185" s="5"/>
      <c r="AB185" s="5"/>
      <c r="AC185" s="5"/>
      <c r="AD185" s="5"/>
    </row>
    <row r="186" spans="1:30" x14ac:dyDescent="0.25">
      <c r="A186" s="5"/>
      <c r="B186" s="5"/>
      <c r="C186" s="5"/>
      <c r="D186" s="5"/>
      <c r="E186" s="5"/>
      <c r="F186" s="5"/>
      <c r="G186" s="95"/>
      <c r="H186" s="5"/>
      <c r="I186" s="95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5"/>
      <c r="AA186" s="5"/>
      <c r="AB186" s="5"/>
      <c r="AC186" s="5"/>
      <c r="AD186" s="5"/>
    </row>
    <row r="187" spans="1:30" x14ac:dyDescent="0.25">
      <c r="A187" s="5"/>
      <c r="B187" s="5"/>
      <c r="C187" s="5"/>
      <c r="D187" s="5"/>
      <c r="E187" s="5"/>
      <c r="F187" s="5"/>
      <c r="G187" s="95"/>
      <c r="H187" s="5"/>
      <c r="I187" s="95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5"/>
      <c r="AA187" s="5"/>
      <c r="AB187" s="5"/>
      <c r="AC187" s="5"/>
      <c r="AD187" s="5"/>
    </row>
    <row r="188" spans="1:30" x14ac:dyDescent="0.25">
      <c r="A188" s="95"/>
      <c r="B188" s="95"/>
      <c r="C188" s="95"/>
      <c r="D188" s="95"/>
      <c r="E188" s="95"/>
      <c r="F188" s="95"/>
      <c r="G188" s="96"/>
      <c r="H188" s="95"/>
      <c r="I188" s="97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5"/>
      <c r="AA188" s="5"/>
      <c r="AB188" s="5"/>
      <c r="AC188" s="5"/>
      <c r="AD188" s="5"/>
    </row>
    <row r="189" spans="1:30" x14ac:dyDescent="0.25">
      <c r="A189" s="95"/>
      <c r="B189" s="95"/>
      <c r="C189" s="95"/>
      <c r="D189" s="95"/>
      <c r="E189" s="95"/>
      <c r="F189" s="95"/>
      <c r="G189" s="95"/>
      <c r="H189" s="97"/>
      <c r="I189" s="95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5"/>
      <c r="AA189" s="5"/>
      <c r="AB189" s="5"/>
      <c r="AC189" s="5"/>
      <c r="AD189" s="5"/>
    </row>
    <row r="190" spans="1:30" x14ac:dyDescent="0.25">
      <c r="A190" s="95"/>
      <c r="B190" s="95"/>
      <c r="C190" s="95"/>
      <c r="D190" s="95"/>
      <c r="E190" s="95"/>
      <c r="F190" s="95"/>
      <c r="G190" s="95"/>
      <c r="H190" s="95"/>
      <c r="I190" s="95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5"/>
      <c r="AA190" s="5"/>
      <c r="AB190" s="5"/>
      <c r="AC190" s="5"/>
      <c r="AD190" s="5"/>
    </row>
    <row r="191" spans="1:30" x14ac:dyDescent="0.25">
      <c r="A191" s="95"/>
      <c r="B191" s="95"/>
      <c r="C191" s="95"/>
      <c r="D191" s="95"/>
      <c r="E191" s="95"/>
      <c r="F191" s="95"/>
      <c r="G191" s="95"/>
      <c r="H191" s="95"/>
      <c r="I191" s="95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5"/>
      <c r="AA191" s="5"/>
      <c r="AB191" s="5"/>
      <c r="AC191" s="5"/>
      <c r="AD191" s="5"/>
    </row>
    <row r="192" spans="1:30" x14ac:dyDescent="0.25">
      <c r="A192" s="95"/>
      <c r="B192" s="95"/>
      <c r="C192" s="95"/>
      <c r="D192" s="95"/>
      <c r="E192" s="95"/>
      <c r="F192" s="95"/>
      <c r="G192" s="95"/>
      <c r="H192" s="95"/>
      <c r="I192" s="95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5"/>
      <c r="AA192" s="5"/>
      <c r="AB192" s="5"/>
      <c r="AC192" s="5"/>
      <c r="AD192" s="5"/>
    </row>
    <row r="193" spans="1:30" x14ac:dyDescent="0.25">
      <c r="A193" s="95"/>
      <c r="B193" s="95"/>
      <c r="C193" s="95"/>
      <c r="D193" s="95"/>
      <c r="E193" s="95"/>
      <c r="F193" s="95"/>
      <c r="G193" s="5"/>
      <c r="H193" s="95"/>
      <c r="I193" s="5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5"/>
      <c r="AA193" s="5"/>
      <c r="AB193" s="5"/>
      <c r="AC193" s="5"/>
      <c r="AD193" s="5"/>
    </row>
    <row r="194" spans="1:30" ht="17.399999999999999" x14ac:dyDescent="0.3">
      <c r="A194" s="98"/>
      <c r="B194" s="5"/>
      <c r="C194" s="5"/>
      <c r="D194" s="5"/>
      <c r="E194" s="5"/>
      <c r="F194" s="5"/>
      <c r="G194" s="5"/>
      <c r="H194" s="5"/>
      <c r="I194" s="5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5"/>
      <c r="AA194" s="5"/>
      <c r="AB194" s="5"/>
      <c r="AC194" s="5"/>
      <c r="AD194" s="5"/>
    </row>
    <row r="195" spans="1:3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5"/>
      <c r="AA195" s="5"/>
      <c r="AB195" s="5"/>
      <c r="AC195" s="5"/>
      <c r="AD195" s="5"/>
    </row>
    <row r="196" spans="1:3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5"/>
      <c r="AA196" s="5"/>
      <c r="AB196" s="5"/>
      <c r="AC196" s="5"/>
      <c r="AD196" s="5"/>
    </row>
    <row r="197" spans="1:30" x14ac:dyDescent="0.25">
      <c r="A197" s="5"/>
      <c r="B197" s="5"/>
      <c r="C197" s="5"/>
      <c r="D197" s="5"/>
      <c r="E197" s="5"/>
      <c r="F197" s="5"/>
      <c r="G197" s="5"/>
      <c r="H197" s="5"/>
      <c r="I197" s="99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5"/>
      <c r="AA197" s="5"/>
      <c r="AB197" s="5"/>
      <c r="AC197" s="5"/>
      <c r="AD197" s="5"/>
    </row>
    <row r="198" spans="1:30" x14ac:dyDescent="0.25">
      <c r="A198" s="5"/>
      <c r="B198" s="5"/>
      <c r="C198" s="5"/>
      <c r="D198" s="5"/>
      <c r="E198" s="5"/>
      <c r="F198" s="5"/>
      <c r="G198" s="5"/>
      <c r="H198" s="99"/>
      <c r="I198" s="99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5"/>
      <c r="AA198" s="5"/>
      <c r="AB198" s="5"/>
      <c r="AC198" s="5"/>
      <c r="AD198" s="5"/>
    </row>
    <row r="199" spans="1:30" x14ac:dyDescent="0.25">
      <c r="A199" s="5"/>
      <c r="B199" s="5"/>
      <c r="C199" s="5"/>
      <c r="D199" s="5"/>
      <c r="E199" s="5"/>
      <c r="F199" s="5"/>
      <c r="G199" s="5"/>
      <c r="H199" s="99"/>
      <c r="I199" s="5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5"/>
      <c r="AA199" s="5"/>
      <c r="AB199" s="5"/>
      <c r="AC199" s="5"/>
      <c r="AD199" s="5"/>
    </row>
    <row r="200" spans="1:30" x14ac:dyDescent="0.25">
      <c r="A200" s="95"/>
      <c r="B200" s="95"/>
      <c r="C200" s="5"/>
      <c r="D200" s="5"/>
      <c r="E200" s="5"/>
      <c r="F200" s="5"/>
      <c r="G200" s="5"/>
      <c r="H200" s="5"/>
      <c r="I200" s="5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5"/>
      <c r="AA200" s="5"/>
      <c r="AB200" s="5"/>
      <c r="AC200" s="5"/>
      <c r="AD200" s="5"/>
    </row>
    <row r="201" spans="1:30" x14ac:dyDescent="0.25">
      <c r="A201" s="95"/>
      <c r="B201" s="95"/>
      <c r="C201" s="5"/>
      <c r="D201" s="5"/>
      <c r="E201" s="5"/>
      <c r="F201" s="5"/>
      <c r="G201" s="5"/>
      <c r="H201" s="5"/>
      <c r="I201" s="5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5"/>
      <c r="AA201" s="5"/>
      <c r="AB201" s="5"/>
      <c r="AC201" s="5"/>
      <c r="AD201" s="5"/>
    </row>
    <row r="202" spans="1:30" x14ac:dyDescent="0.25">
      <c r="A202" s="95"/>
      <c r="B202" s="95"/>
      <c r="C202" s="5"/>
      <c r="D202" s="5"/>
      <c r="E202" s="5"/>
      <c r="F202" s="5"/>
      <c r="G202" s="95"/>
      <c r="H202" s="5"/>
      <c r="I202" s="95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5"/>
      <c r="AA202" s="5"/>
      <c r="AB202" s="5"/>
      <c r="AC202" s="5"/>
      <c r="AD202" s="5"/>
    </row>
    <row r="203" spans="1:30" x14ac:dyDescent="0.25">
      <c r="A203" s="95"/>
      <c r="B203" s="100"/>
      <c r="C203" s="95"/>
      <c r="D203" s="95"/>
      <c r="E203" s="95"/>
      <c r="F203" s="95"/>
      <c r="G203" s="95"/>
      <c r="H203" s="95"/>
      <c r="I203" s="95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5"/>
      <c r="AA203" s="5"/>
      <c r="AB203" s="5"/>
      <c r="AC203" s="5"/>
      <c r="AD203" s="5"/>
    </row>
    <row r="204" spans="1:30" x14ac:dyDescent="0.25">
      <c r="A204" s="95"/>
      <c r="B204" s="95"/>
      <c r="C204" s="95"/>
      <c r="D204" s="95"/>
      <c r="E204" s="95"/>
      <c r="F204" s="95"/>
      <c r="G204" s="95"/>
      <c r="H204" s="95"/>
      <c r="I204" s="95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5"/>
      <c r="AA204" s="5"/>
      <c r="AB204" s="5"/>
      <c r="AC204" s="5"/>
      <c r="AD204" s="5"/>
    </row>
    <row r="205" spans="1:30" x14ac:dyDescent="0.25">
      <c r="A205" s="95"/>
      <c r="B205" s="95"/>
      <c r="C205" s="95"/>
      <c r="D205" s="95"/>
      <c r="E205" s="95"/>
      <c r="F205" s="95"/>
      <c r="G205" s="5"/>
      <c r="H205" s="95"/>
      <c r="I205" s="5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5"/>
      <c r="AA205" s="5"/>
      <c r="AB205" s="5"/>
      <c r="AC205" s="5"/>
      <c r="AD205" s="5"/>
    </row>
    <row r="206" spans="1:30" ht="20.399999999999999" x14ac:dyDescent="0.35">
      <c r="A206" s="101"/>
      <c r="B206" s="102"/>
      <c r="C206" s="102"/>
      <c r="D206" s="102"/>
      <c r="E206" s="5"/>
      <c r="F206" s="5"/>
      <c r="G206" s="95"/>
      <c r="H206" s="5"/>
      <c r="I206" s="95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5"/>
      <c r="AA206" s="5"/>
      <c r="AB206" s="5"/>
      <c r="AC206" s="5"/>
      <c r="AD206" s="5"/>
    </row>
    <row r="207" spans="1:30" x14ac:dyDescent="0.25">
      <c r="A207" s="95"/>
      <c r="B207" s="95"/>
      <c r="C207" s="95"/>
      <c r="D207" s="95"/>
      <c r="E207" s="95"/>
      <c r="F207" s="95"/>
      <c r="H207" s="95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5"/>
      <c r="AA207" s="5"/>
      <c r="AB207" s="5"/>
      <c r="AC207" s="5"/>
      <c r="AD207" s="5"/>
    </row>
    <row r="208" spans="1:30" x14ac:dyDescent="0.25">
      <c r="A208" s="95"/>
      <c r="B208" s="103"/>
      <c r="C208" s="103"/>
      <c r="D208" s="103"/>
      <c r="E208" s="103"/>
      <c r="F208" s="103"/>
      <c r="G208" s="10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5"/>
      <c r="AA208" s="5"/>
      <c r="AB208" s="5"/>
      <c r="AC208" s="5"/>
      <c r="AD208" s="5"/>
    </row>
    <row r="209" spans="1:30" x14ac:dyDescent="0.25">
      <c r="A209" s="95"/>
      <c r="B209" s="5"/>
      <c r="C209" s="5"/>
      <c r="D209" s="5"/>
      <c r="E209" s="5"/>
      <c r="F209" s="5"/>
      <c r="G209" s="5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5"/>
      <c r="AA209" s="5"/>
      <c r="AB209" s="5"/>
      <c r="AC209" s="5"/>
      <c r="AD209" s="5"/>
    </row>
    <row r="210" spans="1:30" x14ac:dyDescent="0.25">
      <c r="A210" s="95"/>
      <c r="B210" s="5"/>
      <c r="C210" s="5"/>
      <c r="D210" s="5"/>
      <c r="E210" s="5"/>
      <c r="F210" s="5"/>
      <c r="G210" s="5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5"/>
      <c r="AA210" s="5"/>
      <c r="AB210" s="5"/>
      <c r="AC210" s="5"/>
      <c r="AD210" s="5"/>
    </row>
    <row r="211" spans="1:30" x14ac:dyDescent="0.25">
      <c r="A211" s="95"/>
      <c r="B211" s="5"/>
      <c r="C211" s="5"/>
      <c r="D211" s="5"/>
      <c r="E211" s="5"/>
      <c r="F211" s="5"/>
      <c r="G211" s="5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5"/>
      <c r="AA211" s="5"/>
      <c r="AB211" s="5"/>
      <c r="AC211" s="5"/>
      <c r="AD211" s="5"/>
    </row>
    <row r="212" spans="1:30" x14ac:dyDescent="0.25">
      <c r="A212" s="95"/>
      <c r="B212" s="5"/>
      <c r="C212" s="105"/>
      <c r="D212" s="105"/>
      <c r="E212" s="105"/>
      <c r="F212" s="105"/>
      <c r="G212" s="105"/>
      <c r="H212" s="2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5"/>
      <c r="AA212" s="5"/>
      <c r="AB212" s="5"/>
      <c r="AC212" s="5"/>
      <c r="AD212" s="5"/>
    </row>
    <row r="213" spans="1:30" x14ac:dyDescent="0.25">
      <c r="A213" s="5"/>
      <c r="B213" s="5"/>
      <c r="C213" s="105"/>
      <c r="D213" s="105"/>
      <c r="E213" s="105"/>
      <c r="F213" s="105"/>
      <c r="G213" s="105"/>
      <c r="H213" s="2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5"/>
      <c r="AA213" s="5"/>
      <c r="AB213" s="5"/>
      <c r="AC213" s="5"/>
      <c r="AD213" s="5"/>
    </row>
    <row r="214" spans="1:30" x14ac:dyDescent="0.25">
      <c r="A214" s="5"/>
      <c r="B214" s="5"/>
      <c r="C214" s="105"/>
      <c r="D214" s="105"/>
      <c r="E214" s="105"/>
      <c r="F214" s="105"/>
      <c r="G214" s="105"/>
      <c r="H214" s="2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5"/>
      <c r="AA214" s="5"/>
      <c r="AB214" s="5"/>
      <c r="AC214" s="5"/>
      <c r="AD214" s="5"/>
    </row>
    <row r="215" spans="1:30" x14ac:dyDescent="0.25">
      <c r="A215" s="5"/>
      <c r="B215" s="5"/>
      <c r="C215" s="105"/>
      <c r="D215" s="105"/>
      <c r="E215" s="105"/>
      <c r="F215" s="105"/>
      <c r="G215" s="105"/>
      <c r="H215" s="2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5"/>
      <c r="AA215" s="5"/>
      <c r="AB215" s="5"/>
      <c r="AC215" s="5"/>
      <c r="AD215" s="5"/>
    </row>
    <row r="216" spans="1:30" x14ac:dyDescent="0.25">
      <c r="A216" s="5"/>
      <c r="B216" s="5"/>
      <c r="C216" s="105"/>
      <c r="D216" s="105"/>
      <c r="E216" s="105"/>
      <c r="F216" s="105"/>
      <c r="G216" s="105"/>
      <c r="H216" s="2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5"/>
      <c r="AA216" s="5"/>
      <c r="AB216" s="5"/>
      <c r="AC216" s="5"/>
      <c r="AD216" s="5"/>
    </row>
    <row r="217" spans="1:30" x14ac:dyDescent="0.25">
      <c r="A217" s="5"/>
      <c r="B217" s="5"/>
      <c r="C217" s="105"/>
      <c r="D217" s="105"/>
      <c r="E217" s="105"/>
      <c r="F217" s="105"/>
      <c r="G217" s="2"/>
      <c r="H217" s="2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5"/>
      <c r="AA217" s="5"/>
      <c r="AB217" s="5"/>
      <c r="AC217" s="5"/>
      <c r="AD217" s="5"/>
    </row>
    <row r="218" spans="1:30" x14ac:dyDescent="0.25">
      <c r="A218" s="5"/>
      <c r="B218" s="5"/>
      <c r="C218" s="105"/>
      <c r="D218" s="105"/>
      <c r="E218" s="105"/>
      <c r="F218" s="105"/>
      <c r="G218" s="105"/>
      <c r="H218" s="2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5"/>
      <c r="AA218" s="5"/>
      <c r="AB218" s="5"/>
      <c r="AC218" s="5"/>
      <c r="AD218" s="5"/>
    </row>
    <row r="219" spans="1:30" x14ac:dyDescent="0.25">
      <c r="A219" s="5"/>
      <c r="B219" s="5"/>
      <c r="C219" s="105"/>
      <c r="D219" s="105"/>
      <c r="E219" s="105"/>
      <c r="F219" s="105"/>
      <c r="G219" s="105"/>
      <c r="H219" s="2"/>
      <c r="I219" s="5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5"/>
      <c r="AA219" s="5"/>
      <c r="AB219" s="5"/>
      <c r="AC219" s="5"/>
      <c r="AD219" s="5"/>
    </row>
    <row r="220" spans="1:30" x14ac:dyDescent="0.25">
      <c r="A220" s="106"/>
      <c r="B220" s="95"/>
      <c r="C220" s="105"/>
      <c r="D220" s="107"/>
      <c r="E220" s="105"/>
      <c r="F220" s="105"/>
      <c r="G220" s="105"/>
      <c r="H220" s="105"/>
      <c r="I220" s="5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5"/>
      <c r="AA220" s="5"/>
      <c r="AB220" s="5"/>
      <c r="AC220" s="5"/>
      <c r="AD220" s="5"/>
    </row>
    <row r="221" spans="1:30" x14ac:dyDescent="0.25">
      <c r="A221" s="106"/>
      <c r="B221" s="95"/>
      <c r="C221" s="5"/>
      <c r="D221" s="108"/>
      <c r="E221" s="95"/>
      <c r="F221" s="5"/>
      <c r="G221" s="5"/>
      <c r="H221" s="5"/>
      <c r="I221" s="5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5"/>
      <c r="AA221" s="5"/>
      <c r="AB221" s="5"/>
      <c r="AC221" s="5"/>
      <c r="AD221" s="5"/>
    </row>
    <row r="222" spans="1:3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5"/>
      <c r="AA222" s="5"/>
      <c r="AB222" s="5"/>
      <c r="AC222" s="5"/>
      <c r="AD222" s="5"/>
    </row>
    <row r="223" spans="1:3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5"/>
      <c r="AA223" s="5"/>
      <c r="AB223" s="5"/>
      <c r="AC223" s="5"/>
      <c r="AD223" s="5"/>
    </row>
    <row r="224" spans="1:3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5"/>
      <c r="AA224" s="5"/>
      <c r="AB224" s="5"/>
      <c r="AC224" s="5"/>
      <c r="AD224" s="5"/>
    </row>
    <row r="225" spans="1:30" x14ac:dyDescent="0.25">
      <c r="A225" s="5"/>
      <c r="B225" s="5"/>
      <c r="C225" s="5"/>
      <c r="D225" s="5"/>
      <c r="E225" s="5"/>
      <c r="F225" s="5"/>
      <c r="G225" s="95"/>
      <c r="H225" s="5"/>
      <c r="I225" s="95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5"/>
      <c r="AA225" s="5"/>
      <c r="AB225" s="5"/>
      <c r="AC225" s="5"/>
      <c r="AD225" s="5"/>
    </row>
    <row r="226" spans="1:30" x14ac:dyDescent="0.25">
      <c r="A226" s="95"/>
      <c r="B226" s="95"/>
      <c r="C226" s="95"/>
      <c r="D226" s="95"/>
      <c r="E226" s="95"/>
      <c r="F226" s="95"/>
      <c r="G226" s="95"/>
      <c r="H226" s="95"/>
      <c r="I226" s="95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5"/>
      <c r="AA226" s="5"/>
      <c r="AB226" s="5"/>
      <c r="AC226" s="5"/>
      <c r="AD226" s="5"/>
    </row>
    <row r="227" spans="1:30" x14ac:dyDescent="0.25">
      <c r="A227" s="94"/>
      <c r="B227" s="94"/>
      <c r="C227" s="94"/>
      <c r="D227" s="94"/>
      <c r="E227" s="94"/>
      <c r="F227" s="94"/>
      <c r="G227" s="94"/>
      <c r="H227" s="94"/>
      <c r="I227" s="94"/>
    </row>
    <row r="228" spans="1:30" x14ac:dyDescent="0.25">
      <c r="I228" s="94"/>
    </row>
    <row r="229" spans="1:30" x14ac:dyDescent="0.25">
      <c r="I229" s="94"/>
    </row>
    <row r="230" spans="1:30" x14ac:dyDescent="0.25">
      <c r="A230" s="94"/>
      <c r="B230" s="94"/>
      <c r="C230" s="94"/>
      <c r="D230" s="94"/>
      <c r="E230" s="94"/>
      <c r="F230" s="94"/>
      <c r="G230" s="94"/>
      <c r="H230" s="94"/>
      <c r="I230" s="94"/>
    </row>
  </sheetData>
  <pageMargins left="1.1529166666666666" right="0.2902777777777778" top="0.40972222222222221" bottom="0.67986111111111114" header="0.51180555555555551" footer="0.5"/>
  <pageSetup scale="90" firstPageNumber="0" orientation="portrait" verticalDpi="300" r:id="rId1"/>
  <headerFooter alignWithMargins="0">
    <oddFooter>&amp;CSida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846F-77E2-4AEE-85D8-6FE7E55830A2}">
  <dimension ref="A1:W52"/>
  <sheetViews>
    <sheetView showGridLines="0" showZeros="0" workbookViewId="0">
      <selection activeCell="H10" sqref="H10"/>
    </sheetView>
  </sheetViews>
  <sheetFormatPr defaultRowHeight="13.2" x14ac:dyDescent="0.25"/>
  <cols>
    <col min="1" max="1" width="10.109375" customWidth="1"/>
    <col min="2" max="4" width="9.109375" customWidth="1"/>
    <col min="5" max="5" width="16.44140625" customWidth="1"/>
    <col min="6" max="6" width="10.109375" customWidth="1"/>
    <col min="7" max="7" width="7" customWidth="1"/>
    <col min="8" max="8" width="13.88671875" customWidth="1"/>
  </cols>
  <sheetData>
    <row r="1" spans="1:23" ht="15.6" x14ac:dyDescent="0.3">
      <c r="A1" s="92"/>
      <c r="B1" s="13"/>
      <c r="C1" s="93"/>
      <c r="E1" s="6"/>
      <c r="F1" s="94"/>
      <c r="G1" s="94"/>
      <c r="H1" s="9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6" x14ac:dyDescent="0.3">
      <c r="A2" s="92"/>
      <c r="B2" s="13"/>
      <c r="C2" s="93"/>
      <c r="E2" s="6"/>
      <c r="F2" s="94"/>
      <c r="G2" s="94"/>
      <c r="H2" s="9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6" x14ac:dyDescent="0.3">
      <c r="A3" s="92"/>
      <c r="B3" s="13"/>
      <c r="C3" s="93"/>
      <c r="D3" s="93"/>
      <c r="E3" s="6" t="s">
        <v>58</v>
      </c>
      <c r="F3" s="94"/>
      <c r="G3" s="94"/>
      <c r="H3" s="9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s="13" customFormat="1" ht="11.25" customHeight="1" x14ac:dyDescent="0.2">
      <c r="A4" s="109" t="s">
        <v>1</v>
      </c>
      <c r="B4" s="110"/>
      <c r="C4" s="109" t="s">
        <v>2</v>
      </c>
      <c r="D4" s="111"/>
      <c r="E4" s="112"/>
      <c r="F4" s="113" t="s">
        <v>3</v>
      </c>
      <c r="G4" s="114"/>
      <c r="H4" s="115" t="s">
        <v>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x14ac:dyDescent="0.25">
      <c r="A5" s="116"/>
      <c r="B5" s="117"/>
      <c r="C5" s="118">
        <f>Underlagskalkyl!C4</f>
        <v>0</v>
      </c>
      <c r="E5" s="119"/>
      <c r="F5" s="118"/>
      <c r="G5" s="120"/>
      <c r="H5" s="12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x14ac:dyDescent="0.25">
      <c r="A6" s="122" t="str">
        <f>Underlagskalkyl!A4</f>
        <v xml:space="preserve">Fredrik Palm              </v>
      </c>
      <c r="B6" s="123"/>
      <c r="C6" s="124">
        <f>Underlagskalkyl!C5</f>
        <v>0</v>
      </c>
      <c r="D6" s="125"/>
      <c r="E6" s="123"/>
      <c r="F6" s="124" t="str">
        <f>Underlagskalkyl!F4</f>
        <v>Tomt 2 - Horndalsgränd</v>
      </c>
      <c r="G6" s="126"/>
      <c r="H6" s="127">
        <f>Underlagskalkyl!H4</f>
        <v>46097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s="13" customFormat="1" ht="10.5" customHeight="1" x14ac:dyDescent="0.2">
      <c r="A7" s="113" t="s">
        <v>6</v>
      </c>
      <c r="B7" s="128"/>
      <c r="C7" s="113" t="s">
        <v>7</v>
      </c>
      <c r="D7" s="129"/>
      <c r="E7" s="128"/>
      <c r="F7" s="109" t="s">
        <v>8</v>
      </c>
      <c r="G7" s="110"/>
      <c r="H7" s="13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25">
      <c r="A8" s="124" t="str">
        <f>Underlagskalkyl!A7</f>
        <v>Smart 150 - industriell</v>
      </c>
      <c r="B8" s="123"/>
      <c r="C8" s="124" t="str">
        <f>Underlagskalkyl!C7</f>
        <v>Nej</v>
      </c>
      <c r="D8" s="125"/>
      <c r="E8" s="123"/>
      <c r="F8" s="131" t="str">
        <f>Underlagskalkyl!F7</f>
        <v>Borås</v>
      </c>
      <c r="G8" s="126"/>
      <c r="H8" s="13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 x14ac:dyDescent="0.25">
      <c r="A9" s="133"/>
      <c r="B9" s="134" t="s">
        <v>59</v>
      </c>
      <c r="C9" s="135"/>
      <c r="D9" s="135"/>
      <c r="E9" s="135"/>
      <c r="F9" s="136"/>
      <c r="G9" s="137"/>
      <c r="H9" s="138" t="s">
        <v>60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141" customFormat="1" ht="15.6" x14ac:dyDescent="0.3">
      <c r="A10" s="403" t="s">
        <v>306</v>
      </c>
      <c r="B10" s="403"/>
      <c r="C10" s="403"/>
      <c r="D10" s="403"/>
      <c r="E10" s="403"/>
      <c r="F10" s="403"/>
      <c r="G10" s="403"/>
      <c r="H10" s="139"/>
      <c r="I10" s="5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spans="1:23" s="141" customFormat="1" ht="15.6" x14ac:dyDescent="0.3">
      <c r="A11" s="403"/>
      <c r="B11" s="403"/>
      <c r="C11" s="403"/>
      <c r="D11" s="403"/>
      <c r="E11" s="403"/>
      <c r="F11" s="403"/>
      <c r="G11" s="403"/>
      <c r="H11" s="139"/>
      <c r="I11" s="5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spans="1:23" s="141" customFormat="1" ht="15.6" x14ac:dyDescent="0.3">
      <c r="A12" s="403"/>
      <c r="B12" s="403"/>
      <c r="C12" s="403"/>
      <c r="D12" s="403"/>
      <c r="E12" s="403"/>
      <c r="F12" s="403"/>
      <c r="G12" s="403"/>
      <c r="H12" s="139"/>
      <c r="I12" s="5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spans="1:23" s="141" customFormat="1" ht="15.6" x14ac:dyDescent="0.3">
      <c r="A13" s="403"/>
      <c r="B13" s="403"/>
      <c r="C13" s="403"/>
      <c r="D13" s="403"/>
      <c r="E13" s="403"/>
      <c r="F13" s="403"/>
      <c r="G13" s="403"/>
      <c r="H13" s="139"/>
      <c r="I13" s="5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spans="1:23" s="141" customFormat="1" ht="15.6" x14ac:dyDescent="0.3">
      <c r="A14" s="403"/>
      <c r="B14" s="403"/>
      <c r="C14" s="403"/>
      <c r="D14" s="403"/>
      <c r="E14" s="403"/>
      <c r="F14" s="403"/>
      <c r="G14" s="403"/>
      <c r="H14" s="139"/>
      <c r="I14" s="5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spans="1:23" s="141" customFormat="1" ht="15.6" x14ac:dyDescent="0.3">
      <c r="A15" s="403"/>
      <c r="B15" s="403"/>
      <c r="C15" s="403"/>
      <c r="D15" s="403"/>
      <c r="E15" s="403"/>
      <c r="F15" s="403"/>
      <c r="G15" s="403"/>
      <c r="H15" s="139"/>
      <c r="I15" s="5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spans="1:23" s="141" customFormat="1" ht="15.6" x14ac:dyDescent="0.3">
      <c r="A16" s="403"/>
      <c r="B16" s="403"/>
      <c r="C16" s="403"/>
      <c r="D16" s="403"/>
      <c r="E16" s="403"/>
      <c r="F16" s="403"/>
      <c r="G16" s="403"/>
      <c r="H16" s="139"/>
      <c r="I16" s="5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spans="1:23" s="141" customFormat="1" ht="15.6" x14ac:dyDescent="0.3">
      <c r="A17" s="403"/>
      <c r="B17" s="403"/>
      <c r="C17" s="403"/>
      <c r="D17" s="403"/>
      <c r="E17" s="403"/>
      <c r="F17" s="403"/>
      <c r="G17" s="403"/>
      <c r="H17" s="139"/>
      <c r="I17" s="5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spans="1:23" s="141" customFormat="1" ht="15.6" x14ac:dyDescent="0.3">
      <c r="A18" s="403"/>
      <c r="B18" s="403"/>
      <c r="C18" s="403"/>
      <c r="D18" s="403"/>
      <c r="E18" s="403"/>
      <c r="F18" s="403"/>
      <c r="G18" s="403"/>
      <c r="H18" s="139"/>
      <c r="I18" s="5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spans="1:23" s="141" customFormat="1" ht="15.6" x14ac:dyDescent="0.3">
      <c r="A19" s="403"/>
      <c r="B19" s="403"/>
      <c r="C19" s="403"/>
      <c r="D19" s="403"/>
      <c r="E19" s="403"/>
      <c r="F19" s="403"/>
      <c r="G19" s="403"/>
      <c r="H19" s="139"/>
      <c r="I19" s="5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spans="1:23" s="141" customFormat="1" ht="15.6" x14ac:dyDescent="0.3">
      <c r="A20" s="403"/>
      <c r="B20" s="403"/>
      <c r="C20" s="403"/>
      <c r="D20" s="403"/>
      <c r="E20" s="403"/>
      <c r="F20" s="403"/>
      <c r="G20" s="403"/>
      <c r="H20" s="139"/>
      <c r="I20" s="5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spans="1:23" s="141" customFormat="1" ht="15.6" x14ac:dyDescent="0.3">
      <c r="A21" s="403"/>
      <c r="B21" s="403"/>
      <c r="C21" s="403"/>
      <c r="D21" s="403"/>
      <c r="E21" s="403"/>
      <c r="F21" s="403"/>
      <c r="G21" s="403"/>
      <c r="H21" s="139"/>
      <c r="I21" s="5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spans="1:23" s="141" customFormat="1" ht="15.6" x14ac:dyDescent="0.3">
      <c r="A22" s="403"/>
      <c r="B22" s="403"/>
      <c r="C22" s="403"/>
      <c r="D22" s="403"/>
      <c r="E22" s="403"/>
      <c r="F22" s="403"/>
      <c r="G22" s="403"/>
      <c r="H22" s="139"/>
      <c r="I22" s="5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spans="1:23" s="141" customFormat="1" ht="15.6" x14ac:dyDescent="0.3">
      <c r="A23" s="403"/>
      <c r="B23" s="403"/>
      <c r="C23" s="403"/>
      <c r="D23" s="403"/>
      <c r="E23" s="403"/>
      <c r="F23" s="403"/>
      <c r="G23" s="403"/>
      <c r="H23" s="139"/>
      <c r="I23" s="5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spans="1:23" s="141" customFormat="1" ht="15.6" x14ac:dyDescent="0.3">
      <c r="A24" s="403"/>
      <c r="B24" s="403"/>
      <c r="C24" s="403"/>
      <c r="D24" s="403"/>
      <c r="E24" s="403"/>
      <c r="F24" s="403"/>
      <c r="G24" s="403"/>
      <c r="H24" s="139"/>
      <c r="I24" s="5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spans="1:23" s="141" customFormat="1" ht="15.6" x14ac:dyDescent="0.3">
      <c r="A25" s="403"/>
      <c r="B25" s="403"/>
      <c r="C25" s="403"/>
      <c r="D25" s="403"/>
      <c r="E25" s="403"/>
      <c r="F25" s="403"/>
      <c r="G25" s="403"/>
      <c r="H25" s="139"/>
      <c r="I25" s="5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spans="1:23" s="141" customFormat="1" ht="15.6" x14ac:dyDescent="0.3">
      <c r="A26" s="403"/>
      <c r="B26" s="403"/>
      <c r="C26" s="403"/>
      <c r="D26" s="403"/>
      <c r="E26" s="403"/>
      <c r="F26" s="403"/>
      <c r="G26" s="403"/>
      <c r="H26" s="139"/>
      <c r="I26" s="5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spans="1:23" s="141" customFormat="1" ht="15.6" x14ac:dyDescent="0.3">
      <c r="A27" s="403"/>
      <c r="B27" s="403"/>
      <c r="C27" s="403"/>
      <c r="D27" s="403"/>
      <c r="E27" s="403"/>
      <c r="F27" s="403"/>
      <c r="G27" s="403"/>
      <c r="H27" s="139"/>
      <c r="I27" s="5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spans="1:23" s="141" customFormat="1" ht="15.6" x14ac:dyDescent="0.3">
      <c r="A28" s="403"/>
      <c r="B28" s="403"/>
      <c r="C28" s="403"/>
      <c r="D28" s="403"/>
      <c r="E28" s="403"/>
      <c r="F28" s="403"/>
      <c r="G28" s="403"/>
      <c r="H28" s="139"/>
      <c r="I28" s="5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spans="1:23" s="141" customFormat="1" ht="15.6" x14ac:dyDescent="0.3">
      <c r="A29" s="403"/>
      <c r="B29" s="403"/>
      <c r="C29" s="403"/>
      <c r="D29" s="403"/>
      <c r="E29" s="403"/>
      <c r="F29" s="403"/>
      <c r="G29" s="403"/>
      <c r="H29" s="139"/>
      <c r="I29" s="5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spans="1:23" s="141" customFormat="1" ht="15.6" x14ac:dyDescent="0.3">
      <c r="A30" s="403"/>
      <c r="B30" s="403"/>
      <c r="C30" s="403"/>
      <c r="D30" s="403"/>
      <c r="E30" s="403"/>
      <c r="F30" s="403"/>
      <c r="G30" s="403"/>
      <c r="H30" s="139"/>
      <c r="I30" s="5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spans="1:23" s="141" customFormat="1" ht="15.6" x14ac:dyDescent="0.3">
      <c r="A31" s="403"/>
      <c r="B31" s="403"/>
      <c r="C31" s="403"/>
      <c r="D31" s="403"/>
      <c r="E31" s="403"/>
      <c r="F31" s="403"/>
      <c r="G31" s="403"/>
      <c r="H31" s="139"/>
      <c r="I31" s="5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spans="1:23" s="141" customFormat="1" ht="15.6" x14ac:dyDescent="0.3">
      <c r="A32" s="403"/>
      <c r="B32" s="403"/>
      <c r="C32" s="403"/>
      <c r="D32" s="403"/>
      <c r="E32" s="403"/>
      <c r="F32" s="403"/>
      <c r="G32" s="403"/>
      <c r="H32" s="139"/>
      <c r="I32" s="5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spans="1:23" s="141" customFormat="1" ht="15.6" x14ac:dyDescent="0.3">
      <c r="A33" s="403"/>
      <c r="B33" s="403"/>
      <c r="C33" s="403"/>
      <c r="D33" s="403"/>
      <c r="E33" s="403"/>
      <c r="F33" s="403"/>
      <c r="G33" s="403"/>
      <c r="H33" s="139"/>
      <c r="I33" s="5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spans="1:23" s="141" customFormat="1" ht="15.6" x14ac:dyDescent="0.3">
      <c r="A34" s="403"/>
      <c r="B34" s="403"/>
      <c r="C34" s="403"/>
      <c r="D34" s="403"/>
      <c r="E34" s="403"/>
      <c r="F34" s="403"/>
      <c r="G34" s="403"/>
      <c r="H34" s="139"/>
      <c r="I34" s="5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spans="1:23" s="141" customFormat="1" ht="15.6" x14ac:dyDescent="0.3">
      <c r="A35" s="403"/>
      <c r="B35" s="403"/>
      <c r="C35" s="403"/>
      <c r="D35" s="403"/>
      <c r="E35" s="403"/>
      <c r="F35" s="403"/>
      <c r="G35" s="403"/>
      <c r="H35" s="139"/>
      <c r="I35" s="5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spans="1:23" s="141" customFormat="1" ht="15.6" x14ac:dyDescent="0.3">
      <c r="A36" s="403"/>
      <c r="B36" s="403"/>
      <c r="C36" s="403"/>
      <c r="D36" s="403"/>
      <c r="E36" s="403"/>
      <c r="F36" s="403"/>
      <c r="G36" s="403"/>
      <c r="H36" s="139"/>
      <c r="I36" s="5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</row>
    <row r="37" spans="1:23" s="141" customFormat="1" ht="15.6" x14ac:dyDescent="0.3">
      <c r="A37" s="403"/>
      <c r="B37" s="403"/>
      <c r="C37" s="403"/>
      <c r="D37" s="403"/>
      <c r="E37" s="403"/>
      <c r="F37" s="403"/>
      <c r="G37" s="403"/>
      <c r="H37" s="139"/>
      <c r="I37" s="5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</row>
    <row r="38" spans="1:23" s="141" customFormat="1" ht="15.6" x14ac:dyDescent="0.3">
      <c r="A38" s="403"/>
      <c r="B38" s="403"/>
      <c r="C38" s="403"/>
      <c r="D38" s="403"/>
      <c r="E38" s="403"/>
      <c r="F38" s="403"/>
      <c r="G38" s="403"/>
      <c r="H38" s="139"/>
      <c r="I38" s="5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</row>
    <row r="39" spans="1:23" s="141" customFormat="1" ht="15.6" x14ac:dyDescent="0.3">
      <c r="A39" s="403"/>
      <c r="B39" s="403"/>
      <c r="C39" s="403"/>
      <c r="D39" s="403"/>
      <c r="E39" s="403"/>
      <c r="F39" s="403"/>
      <c r="G39" s="403"/>
      <c r="H39" s="139"/>
      <c r="I39" s="5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</row>
    <row r="40" spans="1:23" s="141" customFormat="1" ht="15.6" x14ac:dyDescent="0.3">
      <c r="A40" s="403"/>
      <c r="B40" s="403"/>
      <c r="C40" s="403"/>
      <c r="D40" s="403"/>
      <c r="E40" s="403"/>
      <c r="F40" s="403"/>
      <c r="G40" s="403"/>
      <c r="H40" s="139"/>
      <c r="I40" s="5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</row>
    <row r="41" spans="1:23" s="141" customFormat="1" ht="15.6" x14ac:dyDescent="0.3">
      <c r="A41" s="403"/>
      <c r="B41" s="403"/>
      <c r="C41" s="403"/>
      <c r="D41" s="403"/>
      <c r="E41" s="403"/>
      <c r="F41" s="403"/>
      <c r="G41" s="403"/>
      <c r="H41" s="139"/>
      <c r="I41" s="5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</row>
    <row r="42" spans="1:23" s="141" customFormat="1" ht="15.6" x14ac:dyDescent="0.3">
      <c r="A42" s="403"/>
      <c r="B42" s="403"/>
      <c r="C42" s="403"/>
      <c r="D42" s="403"/>
      <c r="E42" s="403"/>
      <c r="F42" s="403"/>
      <c r="G42" s="403"/>
      <c r="H42" s="139"/>
      <c r="I42" s="5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</row>
    <row r="43" spans="1:23" s="141" customFormat="1" ht="15.6" x14ac:dyDescent="0.3">
      <c r="A43" s="403"/>
      <c r="B43" s="403"/>
      <c r="C43" s="403"/>
      <c r="D43" s="403"/>
      <c r="E43" s="403"/>
      <c r="F43" s="403"/>
      <c r="G43" s="403"/>
      <c r="H43" s="139"/>
      <c r="I43" s="5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</row>
    <row r="44" spans="1:23" s="141" customFormat="1" ht="15.6" x14ac:dyDescent="0.3">
      <c r="A44" s="403"/>
      <c r="B44" s="403"/>
      <c r="C44" s="403"/>
      <c r="D44" s="403"/>
      <c r="E44" s="403"/>
      <c r="F44" s="403"/>
      <c r="G44" s="403"/>
      <c r="H44" s="139"/>
      <c r="I44" s="5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</row>
    <row r="45" spans="1:23" s="141" customFormat="1" ht="15.6" x14ac:dyDescent="0.3">
      <c r="A45" s="403"/>
      <c r="B45" s="403"/>
      <c r="C45" s="403"/>
      <c r="D45" s="403"/>
      <c r="E45" s="403"/>
      <c r="F45" s="403"/>
      <c r="G45" s="403"/>
      <c r="H45" s="139"/>
      <c r="I45" s="5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</row>
    <row r="46" spans="1:23" s="141" customFormat="1" ht="15.6" x14ac:dyDescent="0.3">
      <c r="A46" s="142" t="s">
        <v>61</v>
      </c>
      <c r="B46" s="143"/>
      <c r="C46" s="144"/>
      <c r="D46" s="144"/>
      <c r="E46" s="145"/>
      <c r="F46" s="125"/>
      <c r="G46" s="125"/>
      <c r="H46" s="146">
        <f>SUM(H10:H45)</f>
        <v>0</v>
      </c>
      <c r="I46" s="5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</row>
    <row r="47" spans="1:23" x14ac:dyDescent="0.25">
      <c r="A47" s="147" t="str">
        <f>Underlagskalkyl!A54</f>
        <v>2024-07-04 (2019-02-05 BP)</v>
      </c>
      <c r="C47" s="2"/>
      <c r="D47" s="2"/>
      <c r="E47" s="2"/>
      <c r="F47" s="94"/>
      <c r="G47" s="94"/>
      <c r="H47" s="9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5">
      <c r="A48" s="148"/>
      <c r="C48" s="2"/>
      <c r="D48" s="2"/>
      <c r="E48" s="2"/>
      <c r="F48" s="78"/>
      <c r="G48" s="78"/>
      <c r="H48" s="9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2.75" customHeight="1" x14ac:dyDescent="0.25">
      <c r="A49" s="148"/>
      <c r="C49" s="2"/>
      <c r="D49" s="2"/>
      <c r="E49" s="2"/>
      <c r="F49" s="94"/>
      <c r="G49" s="94"/>
      <c r="H49" s="9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2.75" customHeight="1" x14ac:dyDescent="0.25">
      <c r="A50" s="148"/>
      <c r="C50" s="2"/>
      <c r="D50" s="2"/>
      <c r="E50" s="2"/>
      <c r="F50" s="94"/>
      <c r="G50" s="94"/>
      <c r="H50" s="9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2.75" customHeight="1" x14ac:dyDescent="0.25">
      <c r="A51" s="148"/>
      <c r="C51" s="2"/>
      <c r="D51" s="2"/>
      <c r="E51" s="2"/>
      <c r="F51" s="94"/>
      <c r="G51" s="94"/>
      <c r="H51" s="9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2.75" customHeight="1" x14ac:dyDescent="0.25">
      <c r="A52" s="148"/>
      <c r="C52" s="2"/>
      <c r="D52" s="2"/>
      <c r="E52" s="2"/>
      <c r="F52" s="94"/>
      <c r="G52" s="94"/>
      <c r="H52" s="9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</sheetData>
  <sheetProtection password="C74E" sheet="1" objects="1" scenarios="1"/>
  <mergeCells count="36">
    <mergeCell ref="A42:G42"/>
    <mergeCell ref="A43:G43"/>
    <mergeCell ref="A44:G44"/>
    <mergeCell ref="A45:G45"/>
    <mergeCell ref="A38:G38"/>
    <mergeCell ref="A39:G39"/>
    <mergeCell ref="A40:G40"/>
    <mergeCell ref="A41:G41"/>
    <mergeCell ref="A34:G34"/>
    <mergeCell ref="A35:G35"/>
    <mergeCell ref="A36:G36"/>
    <mergeCell ref="A37:G37"/>
    <mergeCell ref="A30:G30"/>
    <mergeCell ref="A31:G31"/>
    <mergeCell ref="A32:G32"/>
    <mergeCell ref="A33:G33"/>
    <mergeCell ref="A26:G26"/>
    <mergeCell ref="A27:G27"/>
    <mergeCell ref="A28:G28"/>
    <mergeCell ref="A29:G29"/>
    <mergeCell ref="A22:G22"/>
    <mergeCell ref="A23:G23"/>
    <mergeCell ref="A24:G24"/>
    <mergeCell ref="A25:G25"/>
    <mergeCell ref="A21:G21"/>
    <mergeCell ref="A14:G14"/>
    <mergeCell ref="A15:G15"/>
    <mergeCell ref="A16:G16"/>
    <mergeCell ref="A17:G17"/>
    <mergeCell ref="A19:G19"/>
    <mergeCell ref="A20:G20"/>
    <mergeCell ref="A10:G10"/>
    <mergeCell ref="A11:G11"/>
    <mergeCell ref="A12:G12"/>
    <mergeCell ref="A13:G13"/>
    <mergeCell ref="A18:G18"/>
  </mergeCells>
  <pageMargins left="0.74791666666666667" right="0.74791666666666667" top="0.98402777777777772" bottom="0.85972222222222228" header="0.51180555555555551" footer="0.51180555555555551"/>
  <pageSetup paperSize="9" scale="93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3250-F6C1-4021-B656-6ADB13D1AC19}">
  <dimension ref="A1:W57"/>
  <sheetViews>
    <sheetView showGridLines="0" showZeros="0" workbookViewId="0">
      <selection activeCell="K25" sqref="K25"/>
    </sheetView>
  </sheetViews>
  <sheetFormatPr defaultRowHeight="13.2" x14ac:dyDescent="0.25"/>
  <cols>
    <col min="1" max="1" width="10.109375" customWidth="1"/>
    <col min="2" max="4" width="9.109375" customWidth="1"/>
    <col min="5" max="5" width="20" customWidth="1"/>
    <col min="6" max="6" width="11.6640625" customWidth="1"/>
    <col min="7" max="7" width="10.6640625" customWidth="1"/>
    <col min="8" max="8" width="10.33203125" customWidth="1"/>
    <col min="9" max="9" width="2.5546875" customWidth="1"/>
  </cols>
  <sheetData>
    <row r="1" spans="1:23" x14ac:dyDescent="0.25">
      <c r="A1" s="92"/>
      <c r="B1" s="13"/>
      <c r="C1" s="93"/>
      <c r="D1" s="93"/>
      <c r="E1" s="93"/>
      <c r="F1" s="94"/>
      <c r="G1" s="94"/>
      <c r="H1" s="9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x14ac:dyDescent="0.25">
      <c r="A2" s="92"/>
      <c r="B2" s="13"/>
      <c r="C2" s="93"/>
      <c r="F2" s="94"/>
      <c r="G2" s="94"/>
      <c r="H2" s="9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6" x14ac:dyDescent="0.3">
      <c r="A3" s="92"/>
      <c r="B3" s="13"/>
      <c r="C3" s="93"/>
      <c r="E3" s="6" t="s">
        <v>62</v>
      </c>
      <c r="F3" s="94"/>
      <c r="G3" s="94"/>
      <c r="H3" s="9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5">
      <c r="A4" s="92"/>
      <c r="B4" s="13"/>
      <c r="C4" s="93"/>
      <c r="D4" s="93"/>
      <c r="E4" s="93"/>
      <c r="F4" s="94"/>
      <c r="G4" s="94"/>
      <c r="H4" s="9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s="13" customFormat="1" ht="11.25" customHeight="1" x14ac:dyDescent="0.2">
      <c r="A5" s="109" t="s">
        <v>1</v>
      </c>
      <c r="B5" s="110"/>
      <c r="C5" s="109" t="s">
        <v>2</v>
      </c>
      <c r="D5" s="111"/>
      <c r="E5" s="112"/>
      <c r="F5" s="113" t="s">
        <v>3</v>
      </c>
      <c r="G5" s="114"/>
      <c r="H5" s="115" t="s">
        <v>4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x14ac:dyDescent="0.25">
      <c r="A6" s="116"/>
      <c r="B6" s="117"/>
      <c r="C6" s="118">
        <f>Underlagskalkyl!C4</f>
        <v>0</v>
      </c>
      <c r="E6" s="119"/>
      <c r="F6" s="118"/>
      <c r="G6" s="120"/>
      <c r="H6" s="12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25">
      <c r="A7" s="122" t="str">
        <f>Underlagskalkyl!A4</f>
        <v xml:space="preserve">Fredrik Palm              </v>
      </c>
      <c r="B7" s="123"/>
      <c r="C7" s="124">
        <f>Underlagskalkyl!C5</f>
        <v>0</v>
      </c>
      <c r="D7" s="125"/>
      <c r="E7" s="123"/>
      <c r="F7" s="124" t="str">
        <f>Underlagskalkyl!F4</f>
        <v>Tomt 2 - Horndalsgränd</v>
      </c>
      <c r="G7" s="126"/>
      <c r="H7" s="127">
        <f>Underlagskalkyl!H4</f>
        <v>46097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s="13" customFormat="1" ht="10.5" customHeight="1" x14ac:dyDescent="0.2">
      <c r="A8" s="113" t="s">
        <v>6</v>
      </c>
      <c r="B8" s="128"/>
      <c r="C8" s="113" t="s">
        <v>7</v>
      </c>
      <c r="D8" s="129"/>
      <c r="E8" s="128"/>
      <c r="F8" s="109" t="s">
        <v>8</v>
      </c>
      <c r="G8" s="110"/>
      <c r="H8" s="13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25">
      <c r="A9" s="149" t="str">
        <f>Underlagskalkyl!A7</f>
        <v>Smart 150 - industriell</v>
      </c>
      <c r="B9" s="150"/>
      <c r="C9" s="149" t="str">
        <f>Underlagskalkyl!C7</f>
        <v>Nej</v>
      </c>
      <c r="D9" s="94"/>
      <c r="E9" s="150"/>
      <c r="F9" s="118" t="str">
        <f>Underlagskalkyl!F7</f>
        <v>Borås</v>
      </c>
      <c r="G9" s="119"/>
      <c r="H9" s="15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" customHeight="1" x14ac:dyDescent="0.25">
      <c r="A10" s="152"/>
      <c r="B10" s="153" t="s">
        <v>63</v>
      </c>
      <c r="C10" s="9"/>
      <c r="D10" s="9"/>
      <c r="E10" s="38"/>
      <c r="F10" s="154" t="s">
        <v>64</v>
      </c>
      <c r="G10" s="154" t="s">
        <v>65</v>
      </c>
      <c r="H10" s="154" t="s">
        <v>66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141" customFormat="1" ht="15.6" x14ac:dyDescent="0.3">
      <c r="A11" s="131"/>
      <c r="B11" s="155"/>
      <c r="C11" s="145"/>
      <c r="D11" s="145"/>
      <c r="E11" s="156"/>
      <c r="F11" s="157" t="s">
        <v>67</v>
      </c>
      <c r="G11" s="157" t="s">
        <v>68</v>
      </c>
      <c r="H11" s="157" t="s">
        <v>68</v>
      </c>
      <c r="I11" s="5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spans="1:23" s="141" customFormat="1" ht="15.6" x14ac:dyDescent="0.3">
      <c r="A12" s="404" t="str">
        <f>'Spec total'!A10:G10</f>
        <v>Tillval enligt affärsförslag</v>
      </c>
      <c r="B12" s="404"/>
      <c r="C12" s="404"/>
      <c r="D12" s="404"/>
      <c r="E12" s="404"/>
      <c r="F12" s="158">
        <f>'Spec total'!H10</f>
        <v>0</v>
      </c>
      <c r="G12" s="159">
        <v>0</v>
      </c>
      <c r="H12" s="158">
        <f t="shared" ref="H12:H48" si="0">F12*0.8-G12</f>
        <v>0</v>
      </c>
      <c r="I12" s="5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spans="1:23" s="141" customFormat="1" ht="15.6" x14ac:dyDescent="0.3">
      <c r="A13" s="404">
        <f>'Spec total'!A11:G11</f>
        <v>0</v>
      </c>
      <c r="B13" s="404"/>
      <c r="C13" s="404"/>
      <c r="D13" s="404"/>
      <c r="E13" s="404"/>
      <c r="F13" s="158">
        <f>'Spec total'!H11</f>
        <v>0</v>
      </c>
      <c r="G13" s="139"/>
      <c r="H13" s="158">
        <f t="shared" si="0"/>
        <v>0</v>
      </c>
      <c r="I13" s="5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spans="1:23" s="141" customFormat="1" ht="15.6" x14ac:dyDescent="0.3">
      <c r="A14" s="404">
        <f>'Spec total'!A12:G12</f>
        <v>0</v>
      </c>
      <c r="B14" s="404"/>
      <c r="C14" s="404"/>
      <c r="D14" s="404"/>
      <c r="E14" s="404"/>
      <c r="F14" s="158">
        <f>'Spec total'!H12</f>
        <v>0</v>
      </c>
      <c r="G14" s="160"/>
      <c r="H14" s="158">
        <f t="shared" si="0"/>
        <v>0</v>
      </c>
      <c r="I14" s="5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spans="1:23" s="141" customFormat="1" ht="15.6" x14ac:dyDescent="0.3">
      <c r="A15" s="404">
        <f>'Spec total'!A13:G13</f>
        <v>0</v>
      </c>
      <c r="B15" s="404"/>
      <c r="C15" s="404"/>
      <c r="D15" s="404"/>
      <c r="E15" s="404"/>
      <c r="F15" s="158">
        <f>'Spec total'!H13</f>
        <v>0</v>
      </c>
      <c r="G15" s="160"/>
      <c r="H15" s="158">
        <f t="shared" si="0"/>
        <v>0</v>
      </c>
      <c r="I15" s="5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spans="1:23" s="141" customFormat="1" ht="15.6" x14ac:dyDescent="0.3">
      <c r="A16" s="404">
        <f>'Spec total'!A14:G14</f>
        <v>0</v>
      </c>
      <c r="B16" s="404"/>
      <c r="C16" s="404"/>
      <c r="D16" s="404"/>
      <c r="E16" s="404"/>
      <c r="F16" s="158">
        <f>'Spec total'!H14</f>
        <v>0</v>
      </c>
      <c r="G16" s="160"/>
      <c r="H16" s="158">
        <f t="shared" si="0"/>
        <v>0</v>
      </c>
      <c r="I16" s="5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spans="1:23" s="141" customFormat="1" ht="15.6" x14ac:dyDescent="0.3">
      <c r="A17" s="404">
        <f>'Spec total'!A15:G15</f>
        <v>0</v>
      </c>
      <c r="B17" s="404"/>
      <c r="C17" s="404"/>
      <c r="D17" s="404"/>
      <c r="E17" s="404"/>
      <c r="F17" s="158">
        <f>'Spec total'!H15</f>
        <v>0</v>
      </c>
      <c r="G17" s="160"/>
      <c r="H17" s="158">
        <f t="shared" si="0"/>
        <v>0</v>
      </c>
      <c r="I17" s="5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spans="1:23" s="141" customFormat="1" ht="15.6" x14ac:dyDescent="0.3">
      <c r="A18" s="404">
        <f>'Spec total'!A16:G16</f>
        <v>0</v>
      </c>
      <c r="B18" s="404"/>
      <c r="C18" s="404"/>
      <c r="D18" s="404"/>
      <c r="E18" s="404"/>
      <c r="F18" s="158">
        <f>'Spec total'!H16</f>
        <v>0</v>
      </c>
      <c r="G18" s="139"/>
      <c r="H18" s="158">
        <f t="shared" si="0"/>
        <v>0</v>
      </c>
      <c r="I18" s="5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spans="1:23" s="141" customFormat="1" ht="15.6" x14ac:dyDescent="0.3">
      <c r="A19" s="404">
        <f>'Spec total'!A17:G17</f>
        <v>0</v>
      </c>
      <c r="B19" s="404"/>
      <c r="C19" s="404"/>
      <c r="D19" s="404"/>
      <c r="E19" s="404"/>
      <c r="F19" s="158">
        <f>'Spec total'!H17</f>
        <v>0</v>
      </c>
      <c r="G19" s="139"/>
      <c r="H19" s="158">
        <f t="shared" si="0"/>
        <v>0</v>
      </c>
      <c r="I19" s="5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spans="1:23" s="141" customFormat="1" ht="15.6" x14ac:dyDescent="0.3">
      <c r="A20" s="404">
        <f>'Spec total'!A18:G18</f>
        <v>0</v>
      </c>
      <c r="B20" s="404"/>
      <c r="C20" s="404"/>
      <c r="D20" s="404"/>
      <c r="E20" s="404"/>
      <c r="F20" s="158">
        <f>'Spec total'!H18</f>
        <v>0</v>
      </c>
      <c r="G20" s="139"/>
      <c r="H20" s="158">
        <f t="shared" si="0"/>
        <v>0</v>
      </c>
      <c r="I20" s="5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spans="1:23" s="141" customFormat="1" ht="15.6" x14ac:dyDescent="0.3">
      <c r="A21" s="404">
        <f>'Spec total'!A19:G19</f>
        <v>0</v>
      </c>
      <c r="B21" s="404"/>
      <c r="C21" s="404"/>
      <c r="D21" s="404"/>
      <c r="E21" s="404"/>
      <c r="F21" s="158">
        <f>'Spec total'!H19</f>
        <v>0</v>
      </c>
      <c r="G21" s="139"/>
      <c r="H21" s="158">
        <f t="shared" si="0"/>
        <v>0</v>
      </c>
      <c r="I21" s="5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spans="1:23" s="141" customFormat="1" ht="15.6" x14ac:dyDescent="0.3">
      <c r="A22" s="404">
        <f>'Spec total'!A20:G20</f>
        <v>0</v>
      </c>
      <c r="B22" s="404"/>
      <c r="C22" s="404"/>
      <c r="D22" s="404"/>
      <c r="E22" s="404"/>
      <c r="F22" s="158">
        <f>'Spec total'!H20</f>
        <v>0</v>
      </c>
      <c r="G22" s="139"/>
      <c r="H22" s="158">
        <f t="shared" si="0"/>
        <v>0</v>
      </c>
      <c r="I22" s="5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spans="1:23" s="141" customFormat="1" ht="15.6" x14ac:dyDescent="0.3">
      <c r="A23" s="404">
        <f>'Spec total'!A21:G21</f>
        <v>0</v>
      </c>
      <c r="B23" s="404"/>
      <c r="C23" s="404"/>
      <c r="D23" s="404"/>
      <c r="E23" s="404"/>
      <c r="F23" s="158">
        <f>'Spec total'!H21</f>
        <v>0</v>
      </c>
      <c r="G23" s="139"/>
      <c r="H23" s="158">
        <f t="shared" si="0"/>
        <v>0</v>
      </c>
      <c r="I23" s="5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spans="1:23" s="141" customFormat="1" ht="15.6" x14ac:dyDescent="0.3">
      <c r="A24" s="404">
        <f>'Spec total'!A22:G22</f>
        <v>0</v>
      </c>
      <c r="B24" s="404"/>
      <c r="C24" s="404"/>
      <c r="D24" s="404"/>
      <c r="E24" s="404"/>
      <c r="F24" s="158">
        <f>'Spec total'!H22</f>
        <v>0</v>
      </c>
      <c r="G24" s="139"/>
      <c r="H24" s="158">
        <f t="shared" si="0"/>
        <v>0</v>
      </c>
      <c r="I24" s="5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spans="1:23" s="141" customFormat="1" ht="15.6" x14ac:dyDescent="0.3">
      <c r="A25" s="404">
        <f>'Spec total'!A23:G23</f>
        <v>0</v>
      </c>
      <c r="B25" s="404"/>
      <c r="C25" s="404"/>
      <c r="D25" s="404"/>
      <c r="E25" s="404"/>
      <c r="F25" s="158">
        <f>'Spec total'!H23</f>
        <v>0</v>
      </c>
      <c r="G25" s="139"/>
      <c r="H25" s="158">
        <f t="shared" si="0"/>
        <v>0</v>
      </c>
      <c r="I25" s="5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spans="1:23" s="141" customFormat="1" ht="15.6" x14ac:dyDescent="0.3">
      <c r="A26" s="404">
        <f>'Spec total'!A24:G24</f>
        <v>0</v>
      </c>
      <c r="B26" s="404"/>
      <c r="C26" s="404"/>
      <c r="D26" s="404"/>
      <c r="E26" s="404"/>
      <c r="F26" s="158">
        <f>'Spec total'!H24</f>
        <v>0</v>
      </c>
      <c r="G26" s="139"/>
      <c r="H26" s="158">
        <f t="shared" si="0"/>
        <v>0</v>
      </c>
      <c r="I26" s="5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spans="1:23" s="141" customFormat="1" ht="15.6" x14ac:dyDescent="0.3">
      <c r="A27" s="404">
        <f>'Spec total'!A25:G25</f>
        <v>0</v>
      </c>
      <c r="B27" s="404"/>
      <c r="C27" s="404"/>
      <c r="D27" s="404"/>
      <c r="E27" s="404"/>
      <c r="F27" s="158">
        <f>'Spec total'!H25</f>
        <v>0</v>
      </c>
      <c r="G27" s="139"/>
      <c r="H27" s="158">
        <f t="shared" si="0"/>
        <v>0</v>
      </c>
      <c r="I27" s="5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spans="1:23" s="141" customFormat="1" ht="15.6" x14ac:dyDescent="0.3">
      <c r="A28" s="404">
        <f>'Spec total'!A26:G26</f>
        <v>0</v>
      </c>
      <c r="B28" s="404"/>
      <c r="C28" s="404"/>
      <c r="D28" s="404"/>
      <c r="E28" s="404"/>
      <c r="F28" s="158">
        <f>'Spec total'!H26</f>
        <v>0</v>
      </c>
      <c r="G28" s="139"/>
      <c r="H28" s="158">
        <f t="shared" si="0"/>
        <v>0</v>
      </c>
      <c r="I28" s="5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spans="1:23" s="141" customFormat="1" ht="15.6" x14ac:dyDescent="0.3">
      <c r="A29" s="404">
        <f>'Spec total'!A27:G27</f>
        <v>0</v>
      </c>
      <c r="B29" s="404"/>
      <c r="C29" s="404"/>
      <c r="D29" s="404"/>
      <c r="E29" s="404"/>
      <c r="F29" s="158">
        <f>'Spec total'!H27</f>
        <v>0</v>
      </c>
      <c r="G29" s="139"/>
      <c r="H29" s="158">
        <f t="shared" si="0"/>
        <v>0</v>
      </c>
      <c r="I29" s="5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spans="1:23" s="141" customFormat="1" ht="15.6" x14ac:dyDescent="0.3">
      <c r="A30" s="404">
        <f>'Spec total'!A28:G28</f>
        <v>0</v>
      </c>
      <c r="B30" s="404"/>
      <c r="C30" s="404"/>
      <c r="D30" s="404"/>
      <c r="E30" s="404"/>
      <c r="F30" s="158">
        <f>'Spec total'!H28</f>
        <v>0</v>
      </c>
      <c r="G30" s="139"/>
      <c r="H30" s="158">
        <f t="shared" si="0"/>
        <v>0</v>
      </c>
      <c r="I30" s="5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spans="1:23" s="141" customFormat="1" ht="15.6" x14ac:dyDescent="0.3">
      <c r="A31" s="404">
        <f>'Spec total'!A29:G29</f>
        <v>0</v>
      </c>
      <c r="B31" s="404"/>
      <c r="C31" s="404"/>
      <c r="D31" s="404"/>
      <c r="E31" s="404"/>
      <c r="F31" s="158">
        <f>'Spec total'!H29</f>
        <v>0</v>
      </c>
      <c r="G31" s="139"/>
      <c r="H31" s="158">
        <f t="shared" si="0"/>
        <v>0</v>
      </c>
      <c r="I31" s="5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spans="1:23" s="141" customFormat="1" ht="15.6" x14ac:dyDescent="0.3">
      <c r="A32" s="404">
        <f>'Spec total'!A30:G30</f>
        <v>0</v>
      </c>
      <c r="B32" s="404"/>
      <c r="C32" s="404"/>
      <c r="D32" s="404"/>
      <c r="E32" s="404"/>
      <c r="F32" s="158">
        <f>'Spec total'!H30</f>
        <v>0</v>
      </c>
      <c r="G32" s="139"/>
      <c r="H32" s="158">
        <f t="shared" si="0"/>
        <v>0</v>
      </c>
      <c r="I32" s="5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spans="1:23" s="141" customFormat="1" ht="15.6" x14ac:dyDescent="0.3">
      <c r="A33" s="404">
        <f>'Spec total'!A31:G31</f>
        <v>0</v>
      </c>
      <c r="B33" s="404"/>
      <c r="C33" s="404"/>
      <c r="D33" s="404"/>
      <c r="E33" s="404"/>
      <c r="F33" s="158">
        <f>'Spec total'!H31</f>
        <v>0</v>
      </c>
      <c r="G33" s="139"/>
      <c r="H33" s="158">
        <f t="shared" si="0"/>
        <v>0</v>
      </c>
      <c r="I33" s="5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spans="1:23" s="141" customFormat="1" ht="15.6" x14ac:dyDescent="0.3">
      <c r="A34" s="404">
        <f>'Spec total'!A32:G32</f>
        <v>0</v>
      </c>
      <c r="B34" s="404"/>
      <c r="C34" s="404"/>
      <c r="D34" s="404"/>
      <c r="E34" s="404"/>
      <c r="F34" s="158">
        <f>'Spec total'!H32</f>
        <v>0</v>
      </c>
      <c r="G34" s="139"/>
      <c r="H34" s="158">
        <f t="shared" si="0"/>
        <v>0</v>
      </c>
      <c r="I34" s="5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spans="1:23" s="141" customFormat="1" ht="15.6" x14ac:dyDescent="0.3">
      <c r="A35" s="404">
        <f>'Spec total'!A33:G33</f>
        <v>0</v>
      </c>
      <c r="B35" s="404"/>
      <c r="C35" s="404"/>
      <c r="D35" s="404"/>
      <c r="E35" s="404"/>
      <c r="F35" s="158">
        <f>'Spec total'!H33</f>
        <v>0</v>
      </c>
      <c r="G35" s="139"/>
      <c r="H35" s="158">
        <f t="shared" si="0"/>
        <v>0</v>
      </c>
      <c r="I35" s="5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spans="1:23" s="141" customFormat="1" ht="15.6" x14ac:dyDescent="0.3">
      <c r="A36" s="404">
        <f>'Spec total'!A34:G34</f>
        <v>0</v>
      </c>
      <c r="B36" s="404"/>
      <c r="C36" s="404"/>
      <c r="D36" s="404"/>
      <c r="E36" s="404"/>
      <c r="F36" s="158">
        <f>'Spec total'!H34</f>
        <v>0</v>
      </c>
      <c r="G36" s="139"/>
      <c r="H36" s="158">
        <f t="shared" si="0"/>
        <v>0</v>
      </c>
      <c r="I36" s="5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</row>
    <row r="37" spans="1:23" s="141" customFormat="1" ht="15.6" x14ac:dyDescent="0.3">
      <c r="A37" s="404">
        <f>'Spec total'!A35:G35</f>
        <v>0</v>
      </c>
      <c r="B37" s="404"/>
      <c r="C37" s="404"/>
      <c r="D37" s="404"/>
      <c r="E37" s="404"/>
      <c r="F37" s="158">
        <f>'Spec total'!H35</f>
        <v>0</v>
      </c>
      <c r="G37" s="139"/>
      <c r="H37" s="158">
        <f t="shared" si="0"/>
        <v>0</v>
      </c>
      <c r="I37" s="5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</row>
    <row r="38" spans="1:23" s="141" customFormat="1" ht="15.6" x14ac:dyDescent="0.3">
      <c r="A38" s="404">
        <f>'Spec total'!A36:G36</f>
        <v>0</v>
      </c>
      <c r="B38" s="404"/>
      <c r="C38" s="404"/>
      <c r="D38" s="404"/>
      <c r="E38" s="404"/>
      <c r="F38" s="158">
        <f>'Spec total'!H36</f>
        <v>0</v>
      </c>
      <c r="G38" s="139"/>
      <c r="H38" s="158">
        <f t="shared" si="0"/>
        <v>0</v>
      </c>
      <c r="I38" s="5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</row>
    <row r="39" spans="1:23" s="141" customFormat="1" ht="15.6" x14ac:dyDescent="0.3">
      <c r="A39" s="404">
        <f>'Spec total'!A37:G37</f>
        <v>0</v>
      </c>
      <c r="B39" s="404"/>
      <c r="C39" s="404"/>
      <c r="D39" s="404"/>
      <c r="E39" s="404"/>
      <c r="F39" s="158">
        <f>'Spec total'!H37</f>
        <v>0</v>
      </c>
      <c r="G39" s="139"/>
      <c r="H39" s="158">
        <f t="shared" si="0"/>
        <v>0</v>
      </c>
      <c r="I39" s="5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</row>
    <row r="40" spans="1:23" s="141" customFormat="1" ht="15.6" x14ac:dyDescent="0.3">
      <c r="A40" s="404"/>
      <c r="B40" s="404"/>
      <c r="C40" s="404"/>
      <c r="D40" s="404"/>
      <c r="E40" s="404"/>
      <c r="F40" s="158">
        <f>'Spec total'!H38</f>
        <v>0</v>
      </c>
      <c r="G40" s="139"/>
      <c r="H40" s="158">
        <f t="shared" si="0"/>
        <v>0</v>
      </c>
      <c r="I40" s="5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</row>
    <row r="41" spans="1:23" s="141" customFormat="1" ht="15.6" x14ac:dyDescent="0.3">
      <c r="A41" s="404">
        <f>'Spec total'!A38:G38</f>
        <v>0</v>
      </c>
      <c r="B41" s="404"/>
      <c r="C41" s="404"/>
      <c r="D41" s="404"/>
      <c r="E41" s="404"/>
      <c r="F41" s="158">
        <f>'Spec total'!H38</f>
        <v>0</v>
      </c>
      <c r="G41" s="139"/>
      <c r="H41" s="158">
        <f t="shared" si="0"/>
        <v>0</v>
      </c>
      <c r="I41" s="5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</row>
    <row r="42" spans="1:23" s="141" customFormat="1" ht="15.6" x14ac:dyDescent="0.3">
      <c r="A42" s="404">
        <f>'Spec total'!A39:G39</f>
        <v>0</v>
      </c>
      <c r="B42" s="404"/>
      <c r="C42" s="404"/>
      <c r="D42" s="404"/>
      <c r="E42" s="404"/>
      <c r="F42" s="158">
        <f>'Spec total'!H39</f>
        <v>0</v>
      </c>
      <c r="G42" s="139"/>
      <c r="H42" s="158">
        <f t="shared" si="0"/>
        <v>0</v>
      </c>
      <c r="I42" s="5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</row>
    <row r="43" spans="1:23" s="141" customFormat="1" ht="15.6" x14ac:dyDescent="0.3">
      <c r="A43" s="404">
        <f>'Spec total'!A40:G40</f>
        <v>0</v>
      </c>
      <c r="B43" s="404"/>
      <c r="C43" s="404"/>
      <c r="D43" s="404"/>
      <c r="E43" s="404"/>
      <c r="F43" s="158">
        <f>'Spec total'!H40</f>
        <v>0</v>
      </c>
      <c r="G43" s="139"/>
      <c r="H43" s="158">
        <f t="shared" si="0"/>
        <v>0</v>
      </c>
      <c r="I43" s="5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</row>
    <row r="44" spans="1:23" s="141" customFormat="1" ht="15.6" x14ac:dyDescent="0.3">
      <c r="A44" s="404">
        <f>'Spec total'!A41:G41</f>
        <v>0</v>
      </c>
      <c r="B44" s="404"/>
      <c r="C44" s="404"/>
      <c r="D44" s="404"/>
      <c r="E44" s="404"/>
      <c r="F44" s="158">
        <f>'Spec total'!H41</f>
        <v>0</v>
      </c>
      <c r="G44" s="139"/>
      <c r="H44" s="158">
        <f t="shared" si="0"/>
        <v>0</v>
      </c>
      <c r="I44" s="5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</row>
    <row r="45" spans="1:23" s="141" customFormat="1" ht="15.6" x14ac:dyDescent="0.3">
      <c r="A45" s="404">
        <f>'Spec total'!A42:G42</f>
        <v>0</v>
      </c>
      <c r="B45" s="404"/>
      <c r="C45" s="404"/>
      <c r="D45" s="404"/>
      <c r="E45" s="404"/>
      <c r="F45" s="158">
        <f>'Spec total'!H42</f>
        <v>0</v>
      </c>
      <c r="G45" s="139"/>
      <c r="H45" s="158">
        <f t="shared" si="0"/>
        <v>0</v>
      </c>
      <c r="I45" s="5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</row>
    <row r="46" spans="1:23" s="141" customFormat="1" ht="15.6" x14ac:dyDescent="0.3">
      <c r="A46" s="404">
        <f>'Spec total'!A43:G43</f>
        <v>0</v>
      </c>
      <c r="B46" s="404"/>
      <c r="C46" s="404"/>
      <c r="D46" s="404"/>
      <c r="E46" s="404"/>
      <c r="F46" s="158">
        <f>'Spec total'!H43</f>
        <v>0</v>
      </c>
      <c r="G46" s="139"/>
      <c r="H46" s="158">
        <f t="shared" si="0"/>
        <v>0</v>
      </c>
      <c r="I46" s="5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</row>
    <row r="47" spans="1:23" s="141" customFormat="1" ht="15.6" x14ac:dyDescent="0.3">
      <c r="A47" s="404">
        <f>'Spec total'!A44:G44</f>
        <v>0</v>
      </c>
      <c r="B47" s="404"/>
      <c r="C47" s="404"/>
      <c r="D47" s="404"/>
      <c r="E47" s="404"/>
      <c r="F47" s="158">
        <f>'Spec total'!H44</f>
        <v>0</v>
      </c>
      <c r="G47" s="139"/>
      <c r="H47" s="158">
        <f t="shared" si="0"/>
        <v>0</v>
      </c>
      <c r="I47" s="5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</row>
    <row r="48" spans="1:23" s="141" customFormat="1" ht="15.6" x14ac:dyDescent="0.3">
      <c r="A48" s="404">
        <f>'Spec total'!A45:G45</f>
        <v>0</v>
      </c>
      <c r="B48" s="404"/>
      <c r="C48" s="404"/>
      <c r="D48" s="404"/>
      <c r="E48" s="404"/>
      <c r="F48" s="158">
        <f>'Spec total'!H45</f>
        <v>0</v>
      </c>
      <c r="G48" s="139"/>
      <c r="H48" s="158">
        <f t="shared" si="0"/>
        <v>0</v>
      </c>
      <c r="I48" s="5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</row>
    <row r="49" spans="1:23" s="141" customFormat="1" ht="15.6" x14ac:dyDescent="0.3">
      <c r="A49" s="142" t="s">
        <v>69</v>
      </c>
      <c r="B49" s="143"/>
      <c r="C49" s="144"/>
      <c r="D49" s="144"/>
      <c r="E49" s="145"/>
      <c r="F49" s="161"/>
      <c r="G49" s="146">
        <f>SUM(G12:G48)</f>
        <v>0</v>
      </c>
      <c r="H49" s="146">
        <f>SUM(H12:H48)</f>
        <v>0</v>
      </c>
      <c r="I49" s="5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</row>
    <row r="50" spans="1:23" s="141" customFormat="1" ht="15.6" x14ac:dyDescent="0.3">
      <c r="A50" s="142" t="s">
        <v>70</v>
      </c>
      <c r="B50" s="143"/>
      <c r="C50" s="144"/>
      <c r="D50" s="144"/>
      <c r="E50" s="145"/>
      <c r="F50" s="84"/>
      <c r="G50" s="146">
        <f>G49*0.25</f>
        <v>0</v>
      </c>
      <c r="H50" s="146">
        <f>H49*0.25</f>
        <v>0</v>
      </c>
      <c r="I50" s="5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</row>
    <row r="51" spans="1:23" s="141" customFormat="1" ht="18" customHeight="1" x14ac:dyDescent="0.3">
      <c r="A51" s="142" t="s">
        <v>61</v>
      </c>
      <c r="B51" s="143"/>
      <c r="C51" s="144"/>
      <c r="D51" s="144"/>
      <c r="E51" s="145"/>
      <c r="F51" s="146">
        <f>SUM(F12:F48)</f>
        <v>0</v>
      </c>
      <c r="G51" s="146">
        <f>SUM(G49:G50)</f>
        <v>0</v>
      </c>
      <c r="H51" s="146">
        <f>SUM(H49:H50)</f>
        <v>0</v>
      </c>
      <c r="I51" s="5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</row>
    <row r="52" spans="1:23" x14ac:dyDescent="0.25">
      <c r="A52" s="147" t="str">
        <f>Underlagskalkyl!A54</f>
        <v>2024-07-04 (2019-02-05 BP)</v>
      </c>
      <c r="C52" s="2"/>
      <c r="D52" s="2"/>
      <c r="E52" s="2"/>
      <c r="F52" s="94"/>
      <c r="G52" s="94"/>
      <c r="H52" s="9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5">
      <c r="A53" s="148"/>
      <c r="C53" s="2"/>
      <c r="D53" s="2"/>
      <c r="E53" s="2"/>
      <c r="F53" s="78"/>
      <c r="G53" s="78"/>
      <c r="H53" s="9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2.75" customHeight="1" x14ac:dyDescent="0.25">
      <c r="A54" s="148"/>
      <c r="C54" s="2"/>
      <c r="D54" s="2"/>
      <c r="E54" s="2"/>
      <c r="F54" s="94"/>
      <c r="G54" s="94"/>
      <c r="H54" s="9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2.75" customHeight="1" x14ac:dyDescent="0.25">
      <c r="A55" s="148"/>
      <c r="C55" s="2"/>
      <c r="D55" s="2"/>
      <c r="E55" s="2"/>
      <c r="F55" s="94"/>
      <c r="G55" s="94"/>
      <c r="H55" s="9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2.75" customHeight="1" x14ac:dyDescent="0.25">
      <c r="A56" s="148"/>
      <c r="C56" s="2"/>
      <c r="D56" s="2"/>
      <c r="E56" s="2"/>
      <c r="F56" s="94"/>
      <c r="G56" s="94"/>
      <c r="H56" s="9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2.75" customHeight="1" x14ac:dyDescent="0.25">
      <c r="A57" s="148"/>
      <c r="C57" s="2"/>
      <c r="D57" s="2"/>
      <c r="E57" s="2"/>
      <c r="F57" s="94"/>
      <c r="G57" s="94"/>
      <c r="H57" s="9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</sheetData>
  <sheetProtection password="C74E" sheet="1" objects="1" scenarios="1"/>
  <mergeCells count="37">
    <mergeCell ref="A48:E48"/>
    <mergeCell ref="A44:E44"/>
    <mergeCell ref="A45:E45"/>
    <mergeCell ref="A46:E46"/>
    <mergeCell ref="A47:E47"/>
    <mergeCell ref="A40:E40"/>
    <mergeCell ref="A41:E41"/>
    <mergeCell ref="A42:E42"/>
    <mergeCell ref="A43:E43"/>
    <mergeCell ref="A36:E36"/>
    <mergeCell ref="A37:E37"/>
    <mergeCell ref="A38:E38"/>
    <mergeCell ref="A39:E39"/>
    <mergeCell ref="A32:E32"/>
    <mergeCell ref="A33:E33"/>
    <mergeCell ref="A34:E34"/>
    <mergeCell ref="A35:E35"/>
    <mergeCell ref="A30:E30"/>
    <mergeCell ref="A31:E31"/>
    <mergeCell ref="A25:E25"/>
    <mergeCell ref="A26:E26"/>
    <mergeCell ref="A27:E27"/>
    <mergeCell ref="A28:E28"/>
    <mergeCell ref="A29:E29"/>
    <mergeCell ref="A12:E12"/>
    <mergeCell ref="A13:E13"/>
    <mergeCell ref="A14:E14"/>
    <mergeCell ref="A15:E15"/>
    <mergeCell ref="A24:E24"/>
    <mergeCell ref="A20:E20"/>
    <mergeCell ref="A21:E21"/>
    <mergeCell ref="A16:E16"/>
    <mergeCell ref="A17:E17"/>
    <mergeCell ref="A18:E18"/>
    <mergeCell ref="A19:E19"/>
    <mergeCell ref="A22:E22"/>
    <mergeCell ref="A23:E23"/>
  </mergeCells>
  <pageMargins left="0.74791666666666667" right="0.24027777777777778" top="0.47986111111111113" bottom="0.4097222222222222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4DF0-0FBD-4ED1-8DAF-041D643676F5}">
  <dimension ref="A1:G20"/>
  <sheetViews>
    <sheetView topLeftCell="A2" workbookViewId="0">
      <selection activeCell="F24" sqref="F24"/>
    </sheetView>
  </sheetViews>
  <sheetFormatPr defaultRowHeight="13.2" x14ac:dyDescent="0.25"/>
  <cols>
    <col min="3" max="3" width="10.6640625" customWidth="1"/>
    <col min="4" max="4" width="11.88671875" bestFit="1" customWidth="1"/>
  </cols>
  <sheetData>
    <row r="1" spans="1:7" x14ac:dyDescent="0.25">
      <c r="A1" t="s">
        <v>275</v>
      </c>
    </row>
    <row r="5" spans="1:7" x14ac:dyDescent="0.25">
      <c r="B5" t="s">
        <v>137</v>
      </c>
      <c r="D5" s="335">
        <f>Bokalkyl!H26</f>
        <v>5908100</v>
      </c>
    </row>
    <row r="6" spans="1:7" x14ac:dyDescent="0.25">
      <c r="B6" t="s">
        <v>296</v>
      </c>
      <c r="D6" s="335">
        <f>Bokalkyl!H23</f>
        <v>5908100</v>
      </c>
    </row>
    <row r="7" spans="1:7" x14ac:dyDescent="0.25">
      <c r="B7" t="s">
        <v>276</v>
      </c>
      <c r="D7" s="335">
        <f>Bokalkyl!H24</f>
        <v>0</v>
      </c>
    </row>
    <row r="8" spans="1:7" x14ac:dyDescent="0.25">
      <c r="B8" t="s">
        <v>277</v>
      </c>
      <c r="D8" s="334"/>
    </row>
    <row r="9" spans="1:7" x14ac:dyDescent="0.25">
      <c r="B9" t="s">
        <v>278</v>
      </c>
      <c r="D9" s="335">
        <f>D6-D7</f>
        <v>5908100</v>
      </c>
    </row>
    <row r="10" spans="1:7" x14ac:dyDescent="0.25">
      <c r="B10" t="s">
        <v>279</v>
      </c>
      <c r="D10" s="336">
        <f>D9/D5</f>
        <v>1</v>
      </c>
    </row>
    <row r="11" spans="1:7" x14ac:dyDescent="0.25">
      <c r="B11" t="s">
        <v>280</v>
      </c>
      <c r="D11" s="334">
        <f>IF(D9&gt;0.85*D5,0.85*D5,D9)</f>
        <v>5021885</v>
      </c>
      <c r="G11">
        <f>IF(D10&gt;70%,2%,1%)</f>
        <v>0.02</v>
      </c>
    </row>
    <row r="12" spans="1:7" x14ac:dyDescent="0.25">
      <c r="B12" t="s">
        <v>281</v>
      </c>
      <c r="D12" s="334">
        <f>D11/D5</f>
        <v>0.85</v>
      </c>
    </row>
    <row r="13" spans="1:7" x14ac:dyDescent="0.25">
      <c r="B13" t="s">
        <v>282</v>
      </c>
      <c r="D13" s="335">
        <f>D6-D7-D11</f>
        <v>886215</v>
      </c>
    </row>
    <row r="14" spans="1:7" x14ac:dyDescent="0.25">
      <c r="B14" t="s">
        <v>286</v>
      </c>
      <c r="D14" s="336">
        <f>IF(D10&lt;50%,0,F14)</f>
        <v>0.02</v>
      </c>
      <c r="F14">
        <f>IF(D10&gt;70%,2%,1%)</f>
        <v>0.02</v>
      </c>
    </row>
    <row r="17" spans="2:4" x14ac:dyDescent="0.25">
      <c r="B17" t="s">
        <v>283</v>
      </c>
      <c r="D17" s="334">
        <f>IF(D5*0.5&lt;D11,D5*0.5,D11)</f>
        <v>2954050</v>
      </c>
    </row>
    <row r="18" spans="2:4" x14ac:dyDescent="0.25">
      <c r="B18" t="s">
        <v>284</v>
      </c>
      <c r="D18" s="334">
        <f>D11-D17</f>
        <v>2067835</v>
      </c>
    </row>
    <row r="19" spans="2:4" x14ac:dyDescent="0.25">
      <c r="B19" t="s">
        <v>282</v>
      </c>
      <c r="D19" s="335">
        <f>D13</f>
        <v>886215</v>
      </c>
    </row>
    <row r="20" spans="2:4" x14ac:dyDescent="0.25">
      <c r="B20" t="s">
        <v>285</v>
      </c>
      <c r="D20" s="334">
        <f>SUM(D17:D19)</f>
        <v>5908100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28A8-53C8-4A04-A61C-837F3861E85B}">
  <dimension ref="A1:AI108"/>
  <sheetViews>
    <sheetView showGridLines="0" showZeros="0" topLeftCell="A13" workbookViewId="0">
      <selection activeCell="H24" sqref="H24"/>
    </sheetView>
  </sheetViews>
  <sheetFormatPr defaultRowHeight="13.2" x14ac:dyDescent="0.25"/>
  <cols>
    <col min="1" max="1" width="10.33203125" customWidth="1"/>
    <col min="2" max="2" width="10.88671875" customWidth="1"/>
    <col min="3" max="3" width="10" customWidth="1"/>
    <col min="4" max="4" width="11" customWidth="1"/>
    <col min="5" max="5" width="11.6640625" customWidth="1"/>
    <col min="6" max="6" width="10.88671875" customWidth="1"/>
    <col min="7" max="7" width="11" customWidth="1"/>
    <col min="8" max="8" width="11.5546875" customWidth="1"/>
    <col min="9" max="9" width="8.88671875" customWidth="1"/>
    <col min="10" max="16" width="9.109375" hidden="1" customWidth="1"/>
    <col min="17" max="17" width="11.44140625" hidden="1" customWidth="1"/>
    <col min="18" max="18" width="11.109375" hidden="1" customWidth="1"/>
    <col min="19" max="20" width="9.109375" hidden="1" customWidth="1"/>
    <col min="21" max="21" width="12.6640625" hidden="1" customWidth="1"/>
    <col min="22" max="26" width="9.109375" hidden="1" customWidth="1"/>
    <col min="27" max="27" width="17" customWidth="1"/>
    <col min="28" max="28" width="13.109375" customWidth="1"/>
    <col min="29" max="29" width="9.109375" customWidth="1"/>
    <col min="30" max="30" width="12" customWidth="1"/>
    <col min="31" max="31" width="12.44140625" customWidth="1"/>
    <col min="32" max="32" width="12.5546875" customWidth="1"/>
    <col min="33" max="33" width="12.33203125" customWidth="1"/>
    <col min="34" max="37" width="9.109375" customWidth="1"/>
  </cols>
  <sheetData>
    <row r="1" spans="1:32" x14ac:dyDescent="0.25">
      <c r="A1" s="162"/>
      <c r="B1" s="13"/>
      <c r="C1" s="93"/>
      <c r="D1" s="93"/>
      <c r="E1" s="93"/>
      <c r="F1" s="94"/>
      <c r="G1" s="94"/>
      <c r="H1" s="94"/>
      <c r="I1" s="94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</row>
    <row r="2" spans="1:32" ht="10.5" customHeight="1" x14ac:dyDescent="0.3">
      <c r="A2" s="94"/>
      <c r="B2" s="94"/>
      <c r="C2" s="94"/>
      <c r="D2" s="94"/>
      <c r="E2" s="165" t="s">
        <v>9</v>
      </c>
      <c r="F2" s="94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6" t="s">
        <v>71</v>
      </c>
      <c r="V2" s="163"/>
      <c r="W2" s="163"/>
      <c r="X2" s="163"/>
      <c r="Y2" s="163"/>
      <c r="Z2" s="163"/>
      <c r="AA2" s="94"/>
      <c r="AB2" s="94"/>
      <c r="AC2" s="94"/>
      <c r="AD2" s="94"/>
      <c r="AE2" s="94"/>
      <c r="AF2" s="94"/>
    </row>
    <row r="3" spans="1:32" ht="15.6" x14ac:dyDescent="0.3">
      <c r="A3" s="94"/>
      <c r="B3" s="94"/>
      <c r="C3" s="94"/>
      <c r="D3" s="94"/>
      <c r="E3" s="94"/>
      <c r="F3" s="94"/>
      <c r="G3" s="94"/>
      <c r="H3" s="94"/>
      <c r="I3" s="94"/>
      <c r="J3" s="378" t="s">
        <v>72</v>
      </c>
      <c r="K3" s="379"/>
      <c r="L3" s="379"/>
      <c r="M3" s="379"/>
      <c r="N3" s="379"/>
      <c r="O3" s="379"/>
      <c r="P3" s="379"/>
      <c r="Q3" s="379"/>
      <c r="R3" s="379"/>
      <c r="S3" s="379"/>
      <c r="T3" s="163"/>
      <c r="U3" s="163"/>
      <c r="V3" s="163"/>
      <c r="W3" s="163"/>
      <c r="X3" s="163"/>
      <c r="Y3" s="163"/>
      <c r="Z3" s="163"/>
      <c r="AA3" s="94"/>
      <c r="AB3" s="94"/>
      <c r="AC3" s="94"/>
      <c r="AD3" s="94"/>
      <c r="AE3" s="94"/>
      <c r="AF3" s="94"/>
    </row>
    <row r="4" spans="1:32" x14ac:dyDescent="0.25">
      <c r="A4" s="94"/>
      <c r="B4" s="94"/>
      <c r="C4" s="94"/>
      <c r="D4" s="94"/>
      <c r="E4" s="94"/>
      <c r="F4" s="94"/>
      <c r="G4" s="94"/>
      <c r="H4" s="94"/>
      <c r="I4" s="94"/>
      <c r="J4" s="163"/>
      <c r="K4" s="163"/>
      <c r="L4" s="163"/>
      <c r="M4" s="163"/>
      <c r="N4" s="163"/>
      <c r="O4" s="166"/>
      <c r="P4" s="163"/>
      <c r="Q4" s="163"/>
      <c r="R4" s="163"/>
      <c r="S4" s="163"/>
      <c r="T4" s="163"/>
      <c r="U4" s="163"/>
      <c r="V4" s="164"/>
      <c r="W4" s="163"/>
      <c r="X4" s="163"/>
      <c r="Y4" s="163"/>
      <c r="Z4" s="163"/>
      <c r="AA4" s="94"/>
      <c r="AB4" s="94"/>
      <c r="AC4" s="94"/>
      <c r="AD4" s="94"/>
      <c r="AE4" s="94"/>
      <c r="AF4" s="94"/>
    </row>
    <row r="5" spans="1:32" x14ac:dyDescent="0.25">
      <c r="A5" s="167" t="s">
        <v>73</v>
      </c>
      <c r="B5" s="167"/>
      <c r="C5" s="167" t="s">
        <v>74</v>
      </c>
      <c r="D5" s="167"/>
      <c r="E5" s="167" t="s">
        <v>75</v>
      </c>
      <c r="F5" s="94"/>
      <c r="G5" s="94"/>
      <c r="H5" s="94"/>
      <c r="I5" s="94"/>
      <c r="J5" s="163"/>
      <c r="K5" s="163"/>
      <c r="L5" s="163"/>
      <c r="M5" s="163"/>
      <c r="N5" s="163"/>
      <c r="O5" s="166"/>
      <c r="P5" s="166"/>
      <c r="Q5" s="166"/>
      <c r="R5" s="164"/>
      <c r="S5" s="164"/>
      <c r="T5" s="163"/>
      <c r="U5" s="163"/>
      <c r="V5" s="164"/>
      <c r="W5" s="163"/>
      <c r="X5" s="163"/>
      <c r="Y5" s="163"/>
      <c r="Z5" s="163"/>
      <c r="AA5" s="94"/>
      <c r="AB5" s="94"/>
      <c r="AC5" s="94"/>
      <c r="AD5" s="94"/>
      <c r="AE5" s="94"/>
      <c r="AF5" s="94"/>
    </row>
    <row r="6" spans="1:32" x14ac:dyDescent="0.25">
      <c r="A6" s="167" t="s">
        <v>76</v>
      </c>
      <c r="B6" s="94"/>
      <c r="C6" s="94"/>
      <c r="D6" s="94"/>
      <c r="E6" s="148" t="s">
        <v>77</v>
      </c>
      <c r="G6" s="168" t="s">
        <v>78</v>
      </c>
      <c r="H6" s="169">
        <f>Underlagskalkyl!H4</f>
        <v>46097</v>
      </c>
      <c r="I6" s="170"/>
      <c r="J6" s="164"/>
      <c r="K6" s="164"/>
      <c r="L6" s="164"/>
      <c r="M6" s="163"/>
      <c r="N6" s="163"/>
      <c r="O6" s="164"/>
      <c r="P6" s="164"/>
      <c r="Q6" s="164"/>
      <c r="R6" s="164"/>
      <c r="S6" s="164"/>
      <c r="T6" s="163"/>
      <c r="U6" s="163"/>
      <c r="V6" s="163"/>
      <c r="W6" s="163"/>
      <c r="X6" s="163"/>
      <c r="Y6" s="163"/>
      <c r="Z6" s="163"/>
      <c r="AA6" s="94"/>
      <c r="AB6" s="94"/>
      <c r="AC6" s="94"/>
      <c r="AD6" s="94"/>
      <c r="AE6" s="94"/>
      <c r="AF6" s="94"/>
    </row>
    <row r="7" spans="1:32" x14ac:dyDescent="0.25">
      <c r="A7" s="148" t="s">
        <v>79</v>
      </c>
      <c r="B7" s="148" t="s">
        <v>80</v>
      </c>
      <c r="C7" s="94"/>
      <c r="D7" s="94"/>
      <c r="E7" s="94"/>
      <c r="F7" s="94"/>
      <c r="G7" s="94"/>
      <c r="H7" s="94"/>
      <c r="I7" s="94"/>
      <c r="J7" s="164"/>
      <c r="K7" s="163"/>
      <c r="L7" s="163"/>
      <c r="M7" s="163"/>
      <c r="N7" s="163"/>
      <c r="O7" s="164"/>
      <c r="P7" s="164"/>
      <c r="Q7" s="164"/>
      <c r="R7" s="164"/>
      <c r="S7" s="164"/>
      <c r="T7" s="163"/>
      <c r="U7" s="163"/>
      <c r="V7" s="163"/>
      <c r="W7" s="163"/>
      <c r="X7" s="163"/>
      <c r="Y7" s="163"/>
      <c r="Z7" s="163"/>
      <c r="AA7" s="94"/>
      <c r="AB7" s="94"/>
      <c r="AC7" s="94"/>
      <c r="AD7" s="94"/>
      <c r="AE7" s="94"/>
      <c r="AF7" s="94"/>
    </row>
    <row r="8" spans="1:32" ht="15.6" x14ac:dyDescent="0.3">
      <c r="A8" s="167" t="s">
        <v>295</v>
      </c>
      <c r="B8" s="94"/>
      <c r="C8" s="94"/>
      <c r="D8" s="94"/>
      <c r="E8" s="94"/>
      <c r="F8" s="94"/>
      <c r="G8" s="94"/>
      <c r="H8" s="375">
        <v>2019</v>
      </c>
      <c r="I8" s="94"/>
      <c r="J8" s="164"/>
      <c r="K8" s="163"/>
      <c r="L8" s="163"/>
      <c r="M8" s="163"/>
      <c r="N8" s="163"/>
      <c r="O8" s="164"/>
      <c r="P8" s="164"/>
      <c r="Q8" s="164"/>
      <c r="R8" s="164"/>
      <c r="S8" s="164"/>
      <c r="T8" s="163"/>
      <c r="U8" s="164"/>
      <c r="V8" s="164"/>
      <c r="W8" s="164"/>
      <c r="X8" s="164"/>
      <c r="Y8" s="164"/>
      <c r="Z8" s="163"/>
      <c r="AA8" s="94"/>
      <c r="AB8" s="94"/>
      <c r="AC8" s="94"/>
      <c r="AD8" s="94"/>
      <c r="AE8" s="94"/>
      <c r="AF8" s="94"/>
    </row>
    <row r="9" spans="1:32" x14ac:dyDescent="0.25">
      <c r="A9" s="148"/>
      <c r="B9" s="94"/>
      <c r="C9" s="94"/>
      <c r="D9" s="94"/>
      <c r="E9" s="94"/>
      <c r="F9" s="94"/>
      <c r="G9" s="94"/>
      <c r="H9" s="94"/>
      <c r="I9" s="94"/>
      <c r="J9" s="164"/>
      <c r="K9" s="163"/>
      <c r="L9" s="163"/>
      <c r="M9" s="164"/>
      <c r="N9" s="164"/>
      <c r="O9" s="164"/>
      <c r="P9" s="164"/>
      <c r="Q9" s="164"/>
      <c r="R9" s="164"/>
      <c r="S9" s="164"/>
      <c r="T9" s="163"/>
      <c r="U9" s="164"/>
      <c r="V9" s="164"/>
      <c r="W9" s="164"/>
      <c r="X9" s="164"/>
      <c r="Y9" s="164"/>
      <c r="Z9" s="164"/>
      <c r="AA9" s="94"/>
      <c r="AB9" s="94"/>
      <c r="AC9" s="94"/>
      <c r="AD9" s="94"/>
      <c r="AE9" s="94"/>
      <c r="AF9" s="94"/>
    </row>
    <row r="10" spans="1:32" s="13" customFormat="1" ht="9.75" customHeight="1" x14ac:dyDescent="0.2">
      <c r="A10" s="113" t="s">
        <v>81</v>
      </c>
      <c r="B10" s="171"/>
      <c r="C10" s="110"/>
      <c r="D10" s="172" t="s">
        <v>82</v>
      </c>
      <c r="E10" s="130" t="s">
        <v>83</v>
      </c>
      <c r="F10" s="130" t="s">
        <v>84</v>
      </c>
      <c r="G10" s="109" t="s">
        <v>85</v>
      </c>
      <c r="H10" s="110"/>
      <c r="J10" s="173"/>
      <c r="K10" s="174"/>
      <c r="L10" s="174"/>
      <c r="M10" s="173"/>
      <c r="N10" s="173"/>
      <c r="O10" s="173"/>
      <c r="P10" s="173"/>
      <c r="Q10" s="173"/>
      <c r="R10" s="173"/>
      <c r="S10" s="173"/>
      <c r="T10" s="174"/>
      <c r="U10" s="173"/>
      <c r="V10" s="173"/>
      <c r="W10" s="173"/>
      <c r="X10" s="173"/>
      <c r="Y10" s="173"/>
      <c r="Z10" s="173"/>
      <c r="AA10" s="175"/>
      <c r="AB10" s="175"/>
      <c r="AC10" s="175"/>
      <c r="AD10" s="175"/>
      <c r="AE10" s="175"/>
      <c r="AF10" s="175"/>
    </row>
    <row r="11" spans="1:32" ht="20.399999999999999" x14ac:dyDescent="0.35">
      <c r="A11" s="122">
        <f>Underlagskalkyl!C4</f>
        <v>0</v>
      </c>
      <c r="B11" s="155"/>
      <c r="C11" s="126"/>
      <c r="D11" s="159">
        <v>0</v>
      </c>
      <c r="E11" s="159"/>
      <c r="F11" s="176">
        <v>0</v>
      </c>
      <c r="G11" s="124" t="str">
        <f>Underlagskalkyl!A4</f>
        <v xml:space="preserve">Fredrik Palm              </v>
      </c>
      <c r="H11" s="126"/>
      <c r="J11" s="164"/>
      <c r="K11" s="177" t="s">
        <v>86</v>
      </c>
      <c r="L11" s="178">
        <v>7</v>
      </c>
      <c r="M11" s="164"/>
      <c r="N11" s="164"/>
      <c r="O11" s="179" t="s">
        <v>294</v>
      </c>
      <c r="P11" s="180"/>
      <c r="Q11" s="180"/>
      <c r="R11" s="180"/>
      <c r="S11" s="180"/>
      <c r="T11" s="179">
        <f>H8</f>
        <v>2019</v>
      </c>
      <c r="U11" s="180"/>
      <c r="V11" s="164"/>
      <c r="W11" s="164"/>
      <c r="X11" s="164"/>
      <c r="Y11" s="164"/>
      <c r="Z11" s="164"/>
      <c r="AD11" s="94"/>
      <c r="AE11" s="94"/>
      <c r="AF11" s="94"/>
    </row>
    <row r="12" spans="1:32" s="13" customFormat="1" ht="9.75" customHeight="1" x14ac:dyDescent="0.25">
      <c r="A12" s="113" t="s">
        <v>87</v>
      </c>
      <c r="B12" s="171"/>
      <c r="C12" s="110"/>
      <c r="D12" s="172" t="s">
        <v>82</v>
      </c>
      <c r="E12" s="130" t="s">
        <v>83</v>
      </c>
      <c r="F12" s="130" t="s">
        <v>88</v>
      </c>
      <c r="G12" s="109"/>
      <c r="H12" s="110"/>
      <c r="J12" s="173"/>
      <c r="K12" s="177" t="s">
        <v>89</v>
      </c>
      <c r="L12" s="178">
        <v>0</v>
      </c>
      <c r="M12" s="173"/>
      <c r="N12" s="173"/>
      <c r="O12" s="180"/>
      <c r="P12" s="180"/>
      <c r="Q12" s="180"/>
      <c r="R12" s="180"/>
      <c r="S12" s="180"/>
      <c r="T12" s="180"/>
      <c r="U12" s="180"/>
      <c r="V12" s="173"/>
      <c r="W12" s="173"/>
      <c r="X12" s="173"/>
      <c r="Y12" s="173"/>
      <c r="Z12" s="173"/>
      <c r="AB12"/>
      <c r="AC12"/>
      <c r="AD12" s="175"/>
      <c r="AE12" s="175"/>
      <c r="AF12" s="175"/>
    </row>
    <row r="13" spans="1:32" ht="15.6" x14ac:dyDescent="0.3">
      <c r="A13" s="122">
        <f>Underlagskalkyl!C5</f>
        <v>0</v>
      </c>
      <c r="B13" s="155"/>
      <c r="C13" s="126"/>
      <c r="D13" s="159">
        <v>0</v>
      </c>
      <c r="E13" s="159">
        <v>0</v>
      </c>
      <c r="F13" s="159"/>
      <c r="G13" s="131"/>
      <c r="H13" s="126"/>
      <c r="J13" s="164"/>
      <c r="K13" s="177" t="s">
        <v>90</v>
      </c>
      <c r="L13" s="146">
        <v>46500</v>
      </c>
      <c r="M13" s="164"/>
      <c r="N13" s="164"/>
      <c r="O13" s="180" t="s">
        <v>268</v>
      </c>
      <c r="P13" s="180"/>
      <c r="Q13" s="180"/>
      <c r="R13" s="181">
        <f>L13</f>
        <v>46500</v>
      </c>
      <c r="S13" s="180"/>
      <c r="T13" s="180"/>
      <c r="U13" s="180"/>
      <c r="V13" s="164"/>
      <c r="W13" s="164"/>
      <c r="X13" s="164"/>
      <c r="Y13" s="164"/>
      <c r="Z13" s="164"/>
      <c r="AD13" s="94"/>
      <c r="AE13" s="94"/>
      <c r="AF13" s="94"/>
    </row>
    <row r="14" spans="1:32" ht="9" customHeight="1" x14ac:dyDescent="0.25">
      <c r="A14" s="94"/>
      <c r="D14" s="94"/>
      <c r="E14" s="94"/>
      <c r="F14" s="94"/>
      <c r="J14" s="174"/>
      <c r="K14" s="177" t="s">
        <v>91</v>
      </c>
      <c r="L14" s="146">
        <v>64400</v>
      </c>
      <c r="M14" s="164"/>
      <c r="N14" s="164"/>
      <c r="O14" s="180"/>
      <c r="P14" s="180"/>
      <c r="Q14" s="180"/>
      <c r="R14" s="180"/>
      <c r="S14" s="180"/>
      <c r="T14" s="180"/>
      <c r="U14" s="180"/>
      <c r="V14" s="164"/>
      <c r="W14" s="164"/>
      <c r="X14" s="164"/>
      <c r="Y14" s="164"/>
      <c r="Z14" s="164"/>
      <c r="AD14" s="94"/>
      <c r="AE14" s="94"/>
      <c r="AF14" s="94"/>
    </row>
    <row r="15" spans="1:32" s="13" customFormat="1" ht="9.75" customHeight="1" x14ac:dyDescent="0.25">
      <c r="A15" s="109" t="s">
        <v>92</v>
      </c>
      <c r="B15" s="171"/>
      <c r="C15" s="110"/>
      <c r="D15" s="109" t="s">
        <v>8</v>
      </c>
      <c r="E15" s="110"/>
      <c r="F15" s="109" t="s">
        <v>6</v>
      </c>
      <c r="G15" s="171"/>
      <c r="H15" s="182"/>
      <c r="I15"/>
      <c r="J15" s="174"/>
      <c r="K15" s="177" t="s">
        <v>93</v>
      </c>
      <c r="L15" s="146">
        <v>490700</v>
      </c>
      <c r="M15" s="173"/>
      <c r="N15" s="173"/>
      <c r="O15" s="180"/>
      <c r="P15" s="180"/>
      <c r="Q15" s="180"/>
      <c r="R15" s="180"/>
      <c r="S15" s="180"/>
      <c r="T15" s="180"/>
      <c r="U15" s="180"/>
      <c r="V15" s="173"/>
      <c r="W15" s="173"/>
      <c r="X15" s="173"/>
      <c r="Y15" s="173"/>
      <c r="Z15" s="173"/>
      <c r="AB15"/>
      <c r="AC15"/>
      <c r="AD15" s="175"/>
      <c r="AE15" s="175"/>
      <c r="AF15" s="175"/>
    </row>
    <row r="16" spans="1:32" x14ac:dyDescent="0.25">
      <c r="A16" s="124" t="str">
        <f>Underlagskalkyl!F4</f>
        <v>Tomt 2 - Horndalsgränd</v>
      </c>
      <c r="B16" s="155"/>
      <c r="C16" s="126"/>
      <c r="D16" s="183" t="str">
        <f>Underlagskalkyl!F7</f>
        <v>Borås</v>
      </c>
      <c r="E16" s="126"/>
      <c r="F16" s="124" t="str">
        <f>Underlagskalkyl!A7</f>
        <v>Smart 150 - industriell</v>
      </c>
      <c r="G16" s="155"/>
      <c r="H16" s="126"/>
      <c r="J16" s="163"/>
      <c r="K16" s="177" t="s">
        <v>94</v>
      </c>
      <c r="L16" s="146">
        <v>20</v>
      </c>
      <c r="M16" s="164"/>
      <c r="N16" s="164"/>
      <c r="O16" s="180" t="s">
        <v>95</v>
      </c>
      <c r="P16" s="180"/>
      <c r="Q16" s="180"/>
      <c r="R16" s="180"/>
      <c r="S16" s="180"/>
      <c r="T16" s="180" t="s">
        <v>96</v>
      </c>
      <c r="U16" s="180" t="s">
        <v>97</v>
      </c>
      <c r="V16" s="164"/>
      <c r="W16" s="164"/>
      <c r="X16" s="164"/>
      <c r="Y16" s="164"/>
      <c r="Z16" s="164"/>
      <c r="AD16" s="94"/>
      <c r="AE16" s="94"/>
      <c r="AF16" s="94"/>
    </row>
    <row r="17" spans="1:35" s="13" customFormat="1" ht="9.75" customHeight="1" x14ac:dyDescent="0.25">
      <c r="A17" s="130" t="s">
        <v>98</v>
      </c>
      <c r="B17" s="130"/>
      <c r="C17" s="130" t="s">
        <v>99</v>
      </c>
      <c r="D17" s="130" t="s">
        <v>100</v>
      </c>
      <c r="E17" s="130" t="s">
        <v>101</v>
      </c>
      <c r="F17" s="109" t="s">
        <v>7</v>
      </c>
      <c r="G17" s="110"/>
      <c r="H17" s="130"/>
      <c r="J17" s="163"/>
      <c r="K17" s="184" t="s">
        <v>102</v>
      </c>
      <c r="L17" s="185">
        <v>0</v>
      </c>
      <c r="M17" s="173"/>
      <c r="N17" s="173"/>
      <c r="O17" s="180" t="s">
        <v>103</v>
      </c>
      <c r="P17" s="180"/>
      <c r="Q17" s="180"/>
      <c r="R17" s="180"/>
      <c r="S17" s="180"/>
      <c r="T17" s="180" t="s">
        <v>104</v>
      </c>
      <c r="U17" s="186"/>
      <c r="V17" s="173"/>
      <c r="W17" s="173"/>
      <c r="X17" s="173"/>
      <c r="Y17" s="173"/>
      <c r="Z17" s="173"/>
      <c r="AC17"/>
      <c r="AD17" s="175"/>
      <c r="AE17" s="175"/>
      <c r="AF17" s="175"/>
    </row>
    <row r="18" spans="1:35" x14ac:dyDescent="0.25">
      <c r="A18" s="187">
        <v>33</v>
      </c>
      <c r="B18" s="188">
        <v>0</v>
      </c>
      <c r="C18" s="187">
        <v>125</v>
      </c>
      <c r="D18" s="189">
        <v>2019</v>
      </c>
      <c r="E18" s="189">
        <v>2019</v>
      </c>
      <c r="F18" s="124" t="str">
        <f>Underlagskalkyl!C7</f>
        <v>Nej</v>
      </c>
      <c r="G18" s="126"/>
      <c r="H18" s="188">
        <v>0</v>
      </c>
      <c r="I18" s="190"/>
      <c r="J18" s="163"/>
      <c r="K18" s="177" t="s">
        <v>105</v>
      </c>
      <c r="L18" s="146">
        <v>5</v>
      </c>
      <c r="M18" s="164"/>
      <c r="N18" s="164"/>
      <c r="O18" s="180" t="s">
        <v>106</v>
      </c>
      <c r="P18" s="180"/>
      <c r="Q18" s="185">
        <v>0.99</v>
      </c>
      <c r="R18" s="191" t="s">
        <v>107</v>
      </c>
      <c r="S18" s="192"/>
      <c r="T18" s="184">
        <f>ROUND(0.423*$R$13+50,-2)</f>
        <v>19700</v>
      </c>
      <c r="U18" s="184">
        <f>ROUND(0.423*$R$13+50,-2)</f>
        <v>19700</v>
      </c>
      <c r="V18" s="164"/>
      <c r="W18" s="164"/>
      <c r="X18" s="164"/>
      <c r="Y18" s="164"/>
      <c r="Z18" s="164"/>
      <c r="AD18" s="94"/>
      <c r="AE18" s="94"/>
      <c r="AF18" s="94"/>
    </row>
    <row r="19" spans="1:35" x14ac:dyDescent="0.25">
      <c r="J19" s="174"/>
      <c r="K19" s="184" t="s">
        <v>108</v>
      </c>
      <c r="L19" s="185">
        <v>689300</v>
      </c>
      <c r="M19" s="164"/>
      <c r="N19" s="164"/>
      <c r="O19" s="180" t="s">
        <v>109</v>
      </c>
      <c r="P19" s="180"/>
      <c r="Q19" s="185">
        <v>2.72</v>
      </c>
      <c r="R19" s="191" t="s">
        <v>110</v>
      </c>
      <c r="S19" s="192"/>
      <c r="T19" s="184">
        <f>ROUND(0.423*$R$13+(Q24-0.99*$R$13)*0.2+50,-2)</f>
        <v>10500</v>
      </c>
      <c r="U19" s="184">
        <f>ROUND(0.423*$R$13+(R24-0.99*$R$13)*0.2+50,-2)</f>
        <v>10500</v>
      </c>
      <c r="V19" s="164"/>
      <c r="W19" s="164"/>
      <c r="X19" s="164"/>
      <c r="Y19" s="164"/>
      <c r="Z19" s="164"/>
      <c r="AD19" s="94"/>
      <c r="AE19" s="94"/>
      <c r="AF19" s="94"/>
    </row>
    <row r="20" spans="1:35" ht="13.8" thickBot="1" x14ac:dyDescent="0.3">
      <c r="A20" s="113" t="s">
        <v>111</v>
      </c>
      <c r="B20" s="182"/>
      <c r="C20" s="193" t="s">
        <v>112</v>
      </c>
      <c r="D20" s="193" t="s">
        <v>113</v>
      </c>
      <c r="E20" s="194" t="s">
        <v>114</v>
      </c>
      <c r="F20" s="171" t="s">
        <v>115</v>
      </c>
      <c r="G20" s="182"/>
      <c r="H20" s="195">
        <f>Underlagskalkyl!F14+Underlagskalkyl!F27</f>
        <v>3670000</v>
      </c>
      <c r="I20" s="94"/>
      <c r="J20" s="163"/>
      <c r="K20" s="164"/>
      <c r="L20" s="164"/>
      <c r="M20" s="164"/>
      <c r="N20" s="164"/>
      <c r="O20" s="180" t="s">
        <v>116</v>
      </c>
      <c r="P20" s="180"/>
      <c r="Q20" s="185">
        <v>3.11</v>
      </c>
      <c r="R20" s="191" t="s">
        <v>117</v>
      </c>
      <c r="S20" s="192"/>
      <c r="T20" s="184">
        <f>ROUND(0.77*$R$13+50,-2)</f>
        <v>35900</v>
      </c>
      <c r="U20" s="184">
        <f>ROUND(0.77*$R$13+50,-2)</f>
        <v>35900</v>
      </c>
      <c r="V20" s="164"/>
      <c r="W20" s="164"/>
      <c r="X20" s="164"/>
      <c r="Y20" s="164"/>
      <c r="Z20" s="164"/>
      <c r="AD20" s="94"/>
      <c r="AE20" s="94"/>
    </row>
    <row r="21" spans="1:35" ht="13.8" thickBot="1" x14ac:dyDescent="0.3">
      <c r="A21" s="131"/>
      <c r="B21" s="126"/>
      <c r="C21" s="196"/>
      <c r="D21" s="197"/>
      <c r="E21" s="198" t="s">
        <v>118</v>
      </c>
      <c r="F21" s="171" t="s">
        <v>119</v>
      </c>
      <c r="G21" s="182"/>
      <c r="H21" s="195">
        <f>Underlagskalkyl!F40-Underlagskalkyl!D28-Underlagskalkyl!E28-Underlagskalkyl!C28+Underlagskalkyl!F45+Underlagskalkyl!F49</f>
        <v>688100</v>
      </c>
      <c r="I21" s="94"/>
      <c r="J21" s="199">
        <v>0</v>
      </c>
      <c r="K21" s="180" t="s">
        <v>120</v>
      </c>
      <c r="L21" s="180"/>
      <c r="M21" s="164"/>
      <c r="N21" s="164"/>
      <c r="O21" s="180" t="s">
        <v>121</v>
      </c>
      <c r="P21" s="180"/>
      <c r="Q21" s="185">
        <v>7.88</v>
      </c>
      <c r="R21" s="191" t="s">
        <v>122</v>
      </c>
      <c r="S21" s="192"/>
      <c r="T21" s="184">
        <f>ROUND(0.77*$R$13-(Q24-3.11*$R$13)*0.1+50,-2)</f>
        <v>50300</v>
      </c>
      <c r="U21" s="184">
        <f>ROUND(0.77*$R$13-(R24-3.11*$R$13)*0.1+50,-2)</f>
        <v>50300</v>
      </c>
      <c r="V21" s="164"/>
      <c r="W21" s="164"/>
      <c r="X21" s="164"/>
      <c r="Y21" s="164"/>
      <c r="Z21" s="164"/>
      <c r="AF21" s="94"/>
    </row>
    <row r="22" spans="1:35" x14ac:dyDescent="0.25">
      <c r="A22" s="200" t="s">
        <v>123</v>
      </c>
      <c r="B22" s="126"/>
      <c r="C22" s="340">
        <v>1.4999999999999999E-2</v>
      </c>
      <c r="D22" s="351">
        <f>IF(H26=0,0,Blad1!D14)</f>
        <v>0.02</v>
      </c>
      <c r="E22" s="201"/>
      <c r="F22" s="171" t="s">
        <v>124</v>
      </c>
      <c r="G22" s="182"/>
      <c r="H22" s="195">
        <f>Underlagskalkyl!C28+Underlagskalkyl!D28+Underlagskalkyl!E28</f>
        <v>1550000</v>
      </c>
      <c r="I22" s="94"/>
      <c r="J22" s="163">
        <v>1</v>
      </c>
      <c r="K22" s="177" t="s">
        <v>125</v>
      </c>
      <c r="L22" s="202">
        <f>ROUND(IF((D11+E11)&lt;L25*L14,(D11+E11)*L24/100,L14*8.07*L24/100),-2)</f>
        <v>0</v>
      </c>
      <c r="M22" s="163"/>
      <c r="N22" s="164"/>
      <c r="O22" s="180" t="s">
        <v>126</v>
      </c>
      <c r="P22" s="180"/>
      <c r="Q22" s="185">
        <v>7.88</v>
      </c>
      <c r="R22" s="191" t="s">
        <v>127</v>
      </c>
      <c r="S22" s="192"/>
      <c r="T22" s="184">
        <f>ROUND(0.293*$R$13+50,-2)</f>
        <v>13700</v>
      </c>
      <c r="U22" s="184">
        <f>ROUND(0.293*$R$13+50,-2)</f>
        <v>13700</v>
      </c>
      <c r="V22" s="164"/>
      <c r="W22" s="164"/>
      <c r="X22" s="164"/>
      <c r="Y22" s="164"/>
      <c r="Z22" s="164"/>
      <c r="AF22" s="94"/>
      <c r="AG22" s="94"/>
      <c r="AH22" s="94"/>
      <c r="AI22" s="94"/>
    </row>
    <row r="23" spans="1:35" ht="13.8" thickBot="1" x14ac:dyDescent="0.3">
      <c r="A23" s="200" t="s">
        <v>128</v>
      </c>
      <c r="B23" s="126"/>
      <c r="C23" s="341">
        <v>1.4999999999999999E-2</v>
      </c>
      <c r="D23" s="351">
        <f>IF(H26=0,0,Blad1!D14)</f>
        <v>0.02</v>
      </c>
      <c r="E23" s="203"/>
      <c r="F23" s="204" t="s">
        <v>129</v>
      </c>
      <c r="G23" s="205"/>
      <c r="H23" s="146">
        <f>SUM(H20:H22)</f>
        <v>5908100</v>
      </c>
      <c r="I23" s="94"/>
      <c r="J23" s="163"/>
      <c r="K23" s="177" t="s">
        <v>97</v>
      </c>
      <c r="L23" s="202">
        <f>ROUND(IF((D13+E13)&lt;L25*L14,(D13+E13)*L24/100,L14*8.07*L24/100),-2)</f>
        <v>0</v>
      </c>
      <c r="M23" s="163"/>
      <c r="N23" s="164"/>
      <c r="O23" s="180"/>
      <c r="P23" s="180"/>
      <c r="Q23" s="180"/>
      <c r="R23" s="180"/>
      <c r="S23" s="180"/>
      <c r="T23" s="180"/>
      <c r="U23" s="180"/>
      <c r="V23" s="164"/>
      <c r="W23" s="164"/>
      <c r="X23" s="164"/>
      <c r="Y23" s="164"/>
      <c r="Z23" s="164"/>
      <c r="AF23" s="94"/>
      <c r="AG23" s="190"/>
      <c r="AH23" s="190"/>
      <c r="AI23" s="94"/>
    </row>
    <row r="24" spans="1:35" ht="16.2" thickBot="1" x14ac:dyDescent="0.35">
      <c r="A24" s="200" t="s">
        <v>133</v>
      </c>
      <c r="B24" s="126"/>
      <c r="C24" s="342">
        <v>0.06</v>
      </c>
      <c r="D24" s="343">
        <v>0.1</v>
      </c>
      <c r="E24" s="337"/>
      <c r="F24" s="171" t="s">
        <v>130</v>
      </c>
      <c r="G24" s="182"/>
      <c r="H24" s="206"/>
      <c r="I24" s="207"/>
      <c r="J24" s="163"/>
      <c r="K24" s="208" t="s">
        <v>131</v>
      </c>
      <c r="L24" s="178">
        <f>L11+L12</f>
        <v>7</v>
      </c>
      <c r="M24" s="164"/>
      <c r="N24" s="164"/>
      <c r="O24" s="180" t="s">
        <v>132</v>
      </c>
      <c r="P24" s="180"/>
      <c r="Q24" s="181">
        <f>D11</f>
        <v>0</v>
      </c>
      <c r="R24" s="181">
        <f>D13</f>
        <v>0</v>
      </c>
      <c r="S24" s="180"/>
      <c r="T24" s="180"/>
      <c r="U24" s="180"/>
      <c r="V24" s="164"/>
      <c r="W24" s="164"/>
      <c r="X24" s="164"/>
      <c r="Y24" s="164"/>
      <c r="Z24" s="164"/>
      <c r="AF24" s="94"/>
      <c r="AG24" s="190"/>
      <c r="AH24" s="190"/>
      <c r="AI24" s="94"/>
    </row>
    <row r="25" spans="1:35" ht="16.2" thickBot="1" x14ac:dyDescent="0.35">
      <c r="F25" s="109" t="s">
        <v>134</v>
      </c>
      <c r="G25" s="182"/>
      <c r="H25" s="146">
        <f>H23-H24</f>
        <v>5908100</v>
      </c>
      <c r="I25" s="94"/>
      <c r="J25" s="164"/>
      <c r="K25" s="209" t="s">
        <v>135</v>
      </c>
      <c r="L25" s="210">
        <v>8.07</v>
      </c>
      <c r="M25" s="164"/>
      <c r="N25" s="164"/>
      <c r="O25" s="180" t="s">
        <v>136</v>
      </c>
      <c r="P25" s="180"/>
      <c r="Q25" s="181">
        <f>IF(Q24&lt;$R$13*$Q$18,T18,IF(AND(Q24&lt;$Q$19*$R$13,Q24&gt;$Q$18),T19,IF(AND(Q24&lt;$Q$20*$R$13,Q24&gt;$R$13*$Q$19),T20,IF(AND(Q24&lt;Q21*$R$13,Q24&gt;$Q$20*$R$13),T21,IF(Q24&lt;$Q$22,0,T22)))))</f>
        <v>19700</v>
      </c>
      <c r="R25" s="181">
        <f>IF(R24&lt;$R$13*$Q$18,U18,IF(AND(R24&lt;$Q$19*$R$13,R24&gt;$Q$18),U19,IF(AND(R24&lt;$Q$20*$R$13,R24&gt;$R$13*$Q$19),U20,IF(AND(R24&lt;Q21*$R$13,R24&gt;$Q$20*$R$13),U21,IF(R24&lt;$Q$22,0,U22)))))</f>
        <v>19700</v>
      </c>
      <c r="S25" s="180"/>
      <c r="T25" s="180"/>
      <c r="U25" s="180"/>
      <c r="V25" s="164"/>
      <c r="W25" s="164"/>
      <c r="X25" s="164"/>
      <c r="Y25" s="164"/>
      <c r="Z25" s="164"/>
      <c r="AF25" s="94"/>
      <c r="AG25" s="190"/>
      <c r="AH25" s="190"/>
      <c r="AI25" s="94"/>
    </row>
    <row r="26" spans="1:35" x14ac:dyDescent="0.25">
      <c r="A26" s="13"/>
      <c r="C26" s="352"/>
      <c r="D26" s="353"/>
      <c r="E26" s="354"/>
      <c r="F26" s="338" t="s">
        <v>137</v>
      </c>
      <c r="G26" s="339"/>
      <c r="H26" s="219">
        <f>H23</f>
        <v>5908100</v>
      </c>
      <c r="I26" s="94"/>
      <c r="J26" s="163"/>
      <c r="K26" s="174"/>
      <c r="L26" s="174"/>
      <c r="M26" s="174"/>
      <c r="N26" s="164"/>
      <c r="O26" s="180"/>
      <c r="P26" s="180"/>
      <c r="Q26" s="180"/>
      <c r="R26" s="180"/>
      <c r="S26" s="180"/>
      <c r="T26" s="180"/>
      <c r="U26" s="180"/>
      <c r="V26" s="164"/>
      <c r="W26" s="164"/>
      <c r="X26" s="164"/>
      <c r="Y26" s="164"/>
      <c r="Z26" s="164"/>
      <c r="AF26" s="94"/>
      <c r="AG26" s="94"/>
      <c r="AH26" s="94"/>
      <c r="AI26" s="94"/>
    </row>
    <row r="27" spans="1:35" ht="13.8" thickBot="1" x14ac:dyDescent="0.3">
      <c r="G27" s="94"/>
      <c r="H27" s="94" t="s">
        <v>9</v>
      </c>
      <c r="I27" s="94"/>
      <c r="J27" s="164"/>
      <c r="K27" s="164"/>
      <c r="L27" s="164"/>
      <c r="M27" s="164"/>
      <c r="N27" s="164"/>
      <c r="O27" s="164"/>
      <c r="P27" s="163"/>
      <c r="Q27" s="164"/>
      <c r="R27" s="164"/>
      <c r="S27" s="164"/>
      <c r="T27" s="163"/>
      <c r="U27" s="164"/>
      <c r="V27" s="164"/>
      <c r="W27" s="164"/>
      <c r="X27" s="164"/>
      <c r="Y27" s="164"/>
      <c r="Z27" s="164"/>
      <c r="AF27" s="94"/>
      <c r="AG27" s="94"/>
      <c r="AH27" s="94"/>
      <c r="AI27" s="94"/>
    </row>
    <row r="28" spans="1:35" x14ac:dyDescent="0.25">
      <c r="A28" s="113" t="s">
        <v>138</v>
      </c>
      <c r="B28" s="129"/>
      <c r="C28" s="171"/>
      <c r="D28" s="182"/>
      <c r="E28" s="185" t="s">
        <v>139</v>
      </c>
      <c r="F28" s="211" t="s">
        <v>112</v>
      </c>
      <c r="G28" s="211" t="s">
        <v>140</v>
      </c>
      <c r="H28" s="193" t="s">
        <v>141</v>
      </c>
      <c r="I28" s="190"/>
      <c r="J28" s="164"/>
      <c r="K28" s="180" t="s">
        <v>142</v>
      </c>
      <c r="L28" s="180"/>
      <c r="M28" s="164"/>
      <c r="N28" s="377"/>
      <c r="O28" s="212" t="s">
        <v>143</v>
      </c>
      <c r="P28" s="213"/>
      <c r="Q28" s="214"/>
      <c r="R28" s="215" t="s">
        <v>144</v>
      </c>
      <c r="S28" s="215" t="s">
        <v>145</v>
      </c>
      <c r="T28" s="216" t="s">
        <v>141</v>
      </c>
      <c r="U28" s="164"/>
      <c r="V28" s="377"/>
      <c r="W28" s="377"/>
      <c r="X28" s="377"/>
      <c r="Y28" s="377"/>
      <c r="Z28" s="377"/>
      <c r="AF28" s="94"/>
      <c r="AG28" s="94"/>
      <c r="AH28" s="94"/>
      <c r="AI28" s="94"/>
    </row>
    <row r="29" spans="1:35" x14ac:dyDescent="0.25">
      <c r="A29" s="113" t="s">
        <v>123</v>
      </c>
      <c r="B29" s="129" t="s">
        <v>9</v>
      </c>
      <c r="C29" s="171"/>
      <c r="D29" s="182" t="s">
        <v>9</v>
      </c>
      <c r="E29" s="307">
        <f>Blad1!D17</f>
        <v>2954050</v>
      </c>
      <c r="F29" s="195">
        <f>C22*E29</f>
        <v>44310.75</v>
      </c>
      <c r="G29" s="195">
        <f>IF(H26=0,0,D22*E29)</f>
        <v>59081</v>
      </c>
      <c r="H29" s="195">
        <f>SUM(F29:G29)</f>
        <v>103391.75</v>
      </c>
      <c r="I29" s="94"/>
      <c r="J29" s="220"/>
      <c r="K29" s="221">
        <v>1</v>
      </c>
      <c r="L29" s="164"/>
      <c r="M29" s="164"/>
      <c r="N29" s="377"/>
      <c r="O29" s="222"/>
      <c r="P29" s="222"/>
      <c r="Q29" s="223"/>
      <c r="R29" s="224"/>
      <c r="S29" s="225"/>
      <c r="T29" s="226"/>
      <c r="U29" s="164"/>
      <c r="V29" s="377"/>
      <c r="W29" s="377"/>
      <c r="X29" s="377"/>
      <c r="Y29" s="377"/>
      <c r="Z29" s="377"/>
      <c r="AH29" s="94"/>
      <c r="AI29" s="94"/>
    </row>
    <row r="30" spans="1:35" x14ac:dyDescent="0.25">
      <c r="A30" s="371" t="s">
        <v>148</v>
      </c>
      <c r="B30" s="372" t="s">
        <v>9</v>
      </c>
      <c r="C30" s="373"/>
      <c r="D30" s="374" t="s">
        <v>9</v>
      </c>
      <c r="E30" s="335">
        <f>Blad1!D18</f>
        <v>2067835</v>
      </c>
      <c r="F30" s="335">
        <f>C23*E30</f>
        <v>31017.524999999998</v>
      </c>
      <c r="G30" s="335">
        <f>IF(H26=0,0,E30*D23)</f>
        <v>41356.700000000004</v>
      </c>
      <c r="H30" s="335">
        <f>SUM(F30:G30)</f>
        <v>72374.225000000006</v>
      </c>
      <c r="I30" s="94"/>
      <c r="J30" s="163"/>
      <c r="K30" s="180">
        <f>IF(K29&lt;1,0,IF(0.9*H26-E31&lt;E35-E31-E34,0.9*H26-E31,E35-E31-E34))</f>
        <v>295405</v>
      </c>
      <c r="L30" s="164"/>
      <c r="M30" s="164"/>
      <c r="N30" s="377"/>
      <c r="O30" s="222" t="s">
        <v>149</v>
      </c>
      <c r="P30" s="222"/>
      <c r="Q30" s="223"/>
      <c r="R30" s="224">
        <f>D11</f>
        <v>0</v>
      </c>
      <c r="S30" s="224">
        <f>D13</f>
        <v>0</v>
      </c>
      <c r="T30" s="227">
        <f t="shared" ref="T30:T35" si="0">SUM(R30:S30)</f>
        <v>0</v>
      </c>
      <c r="U30" s="164"/>
      <c r="V30" s="164"/>
      <c r="W30" s="163"/>
      <c r="X30" s="163"/>
      <c r="Y30" s="163"/>
      <c r="Z30" s="163"/>
      <c r="AF30" s="94"/>
      <c r="AG30" s="94"/>
    </row>
    <row r="31" spans="1:35" x14ac:dyDescent="0.25">
      <c r="A31" s="200" t="s">
        <v>151</v>
      </c>
      <c r="B31" s="230"/>
      <c r="C31" s="231"/>
      <c r="D31" s="390">
        <f>IF(H26=0,0,Blad1!D12)</f>
        <v>0.85</v>
      </c>
      <c r="E31" s="158">
        <f>SUM(E29:E30)</f>
        <v>5021885</v>
      </c>
      <c r="F31" s="149">
        <f>SUM(F29:F30)</f>
        <v>75328.274999999994</v>
      </c>
      <c r="G31" s="149">
        <f>SUM(G29:G30)</f>
        <v>100437.70000000001</v>
      </c>
      <c r="H31" s="370">
        <f>SUM(H29:H30)</f>
        <v>175765.97500000001</v>
      </c>
      <c r="I31" s="94"/>
      <c r="J31" s="228"/>
      <c r="K31" s="164"/>
      <c r="L31" s="164"/>
      <c r="M31" s="164"/>
      <c r="N31" s="377"/>
      <c r="O31" s="222" t="s">
        <v>150</v>
      </c>
      <c r="P31" s="222"/>
      <c r="Q31" s="223"/>
      <c r="R31" s="224"/>
      <c r="S31" s="225"/>
      <c r="T31" s="227">
        <f t="shared" si="0"/>
        <v>0</v>
      </c>
      <c r="U31" s="164"/>
      <c r="V31" s="164"/>
      <c r="W31" s="163"/>
      <c r="X31" s="163"/>
      <c r="Y31" s="163"/>
      <c r="Z31" s="163"/>
      <c r="AG31" s="94"/>
    </row>
    <row r="32" spans="1:35" x14ac:dyDescent="0.25">
      <c r="A32" s="217" t="s">
        <v>287</v>
      </c>
      <c r="B32" s="218"/>
      <c r="C32" s="204"/>
      <c r="D32" s="388">
        <f>IF(H26=0,0,E32/E35)</f>
        <v>0.15</v>
      </c>
      <c r="E32" s="389">
        <f>Blad1!D19</f>
        <v>886215</v>
      </c>
      <c r="F32" s="235">
        <f>E32*C24</f>
        <v>53172.9</v>
      </c>
      <c r="G32" s="195">
        <f>E32*D24</f>
        <v>88621.5</v>
      </c>
      <c r="H32" s="158">
        <f>SUM(F32:G32)</f>
        <v>141794.4</v>
      </c>
      <c r="I32" s="94"/>
      <c r="J32" s="163"/>
      <c r="K32" s="163"/>
      <c r="L32" s="163"/>
      <c r="M32" s="164"/>
      <c r="N32" s="377"/>
      <c r="O32" s="229" t="s">
        <v>132</v>
      </c>
      <c r="P32" s="222"/>
      <c r="Q32" s="223"/>
      <c r="R32" s="224">
        <f>R30-R31</f>
        <v>0</v>
      </c>
      <c r="S32" s="224">
        <f>S30-S31</f>
        <v>0</v>
      </c>
      <c r="T32" s="227">
        <f t="shared" si="0"/>
        <v>0</v>
      </c>
      <c r="U32" s="164"/>
      <c r="V32" s="164"/>
      <c r="W32" s="163"/>
      <c r="X32" s="163"/>
      <c r="Y32" s="163"/>
      <c r="Z32" s="163"/>
      <c r="AF32" s="94"/>
      <c r="AG32" s="94"/>
    </row>
    <row r="33" spans="1:34" x14ac:dyDescent="0.25">
      <c r="A33" s="217" t="s">
        <v>9</v>
      </c>
      <c r="B33" s="218"/>
      <c r="C33" s="204"/>
      <c r="D33" s="119"/>
      <c r="E33" s="146"/>
      <c r="F33" s="237">
        <f>E33*C26/100</f>
        <v>0</v>
      </c>
      <c r="G33" s="146">
        <f>E33*D26/100</f>
        <v>0</v>
      </c>
      <c r="H33" s="146"/>
      <c r="I33" s="94"/>
      <c r="J33" s="163"/>
      <c r="K33" s="163"/>
      <c r="L33" s="163"/>
      <c r="M33" s="163"/>
      <c r="N33" s="377"/>
      <c r="O33" s="232" t="s">
        <v>152</v>
      </c>
      <c r="P33" s="233"/>
      <c r="Q33" s="234"/>
      <c r="R33" s="224">
        <f>E11</f>
        <v>0</v>
      </c>
      <c r="S33" s="224">
        <f>E13</f>
        <v>0</v>
      </c>
      <c r="T33" s="227">
        <f t="shared" si="0"/>
        <v>0</v>
      </c>
      <c r="U33" s="164"/>
      <c r="V33" s="355" t="s">
        <v>289</v>
      </c>
      <c r="W33" s="355"/>
      <c r="X33" s="355"/>
      <c r="Y33" s="355">
        <f>((2.155*Z44-Q25)*(A18-1.2)/100+0.03*13.54*Z44)/0.03</f>
        <v>1482989.5</v>
      </c>
      <c r="Z33" s="355"/>
      <c r="AF33" s="94"/>
      <c r="AG33" s="94"/>
    </row>
    <row r="34" spans="1:34" x14ac:dyDescent="0.25">
      <c r="A34" s="200" t="s">
        <v>288</v>
      </c>
      <c r="B34" s="230"/>
      <c r="C34" s="231"/>
      <c r="D34" s="388">
        <f>IF(H26=0,0,H24/H26)</f>
        <v>0</v>
      </c>
      <c r="E34" s="123">
        <f>H24</f>
        <v>0</v>
      </c>
      <c r="F34" s="241"/>
      <c r="G34" s="241"/>
      <c r="H34" s="242"/>
      <c r="I34" s="94"/>
      <c r="J34" s="220"/>
      <c r="K34" s="163"/>
      <c r="L34" s="163"/>
      <c r="M34" s="163"/>
      <c r="N34" s="377"/>
      <c r="O34" s="236" t="s">
        <v>136</v>
      </c>
      <c r="P34" s="222"/>
      <c r="Q34" s="223"/>
      <c r="R34" s="224">
        <f>-Q25</f>
        <v>-19700</v>
      </c>
      <c r="S34" s="224">
        <f>-R25</f>
        <v>-19700</v>
      </c>
      <c r="T34" s="227">
        <f t="shared" si="0"/>
        <v>-39400</v>
      </c>
      <c r="U34" s="164"/>
      <c r="V34" s="356" t="s">
        <v>290</v>
      </c>
      <c r="W34" s="355"/>
      <c r="X34" s="355"/>
      <c r="Y34" s="355">
        <f>((2.155*Z44-R25)*(A18-1.2)/100+0.03*13.54*Z44)/0.03</f>
        <v>1482989.5</v>
      </c>
      <c r="Z34" s="355"/>
      <c r="AF34" s="94"/>
      <c r="AG34" s="94"/>
    </row>
    <row r="35" spans="1:34" x14ac:dyDescent="0.25">
      <c r="A35" s="237" t="s">
        <v>157</v>
      </c>
      <c r="B35" s="246"/>
      <c r="C35" s="143"/>
      <c r="D35" s="126"/>
      <c r="E35" s="146">
        <f>H23</f>
        <v>5908100</v>
      </c>
      <c r="F35" s="237">
        <f>SUM(F31:F34)</f>
        <v>128501.17499999999</v>
      </c>
      <c r="G35" s="237">
        <f>SUM(G31:G34)</f>
        <v>189059.20000000001</v>
      </c>
      <c r="H35" s="335">
        <f>SUM(H31:H34)</f>
        <v>317560.375</v>
      </c>
      <c r="I35" s="94"/>
      <c r="J35" s="163"/>
      <c r="K35" s="163"/>
      <c r="L35" s="163"/>
      <c r="M35" s="164"/>
      <c r="N35" s="377"/>
      <c r="O35" s="229" t="s">
        <v>153</v>
      </c>
      <c r="P35" s="222"/>
      <c r="Q35" s="223"/>
      <c r="R35" s="224">
        <f>SUM(R32:R34)</f>
        <v>-19700</v>
      </c>
      <c r="S35" s="224">
        <f>SUM(S32:S34)</f>
        <v>-19700</v>
      </c>
      <c r="T35" s="227">
        <f t="shared" si="0"/>
        <v>-39400</v>
      </c>
      <c r="U35" s="164"/>
      <c r="V35" s="164"/>
      <c r="W35" s="163"/>
      <c r="X35" s="163"/>
      <c r="Y35" s="163"/>
      <c r="Z35" s="163"/>
      <c r="AF35" s="94"/>
      <c r="AG35" s="94"/>
    </row>
    <row r="36" spans="1:34" x14ac:dyDescent="0.25">
      <c r="A36" s="387" t="s">
        <v>298</v>
      </c>
      <c r="H36" s="386">
        <f>IF((D11+D13)*4.5&lt;(E31+E32),(E31+E32)*0.01,0)</f>
        <v>59081</v>
      </c>
      <c r="I36" s="78"/>
      <c r="J36" s="163"/>
      <c r="K36" s="164"/>
      <c r="L36" s="163"/>
      <c r="M36" s="164"/>
      <c r="N36" s="377"/>
      <c r="O36" s="229"/>
      <c r="P36" s="222"/>
      <c r="Q36" s="223"/>
      <c r="R36" s="224"/>
      <c r="S36" s="225"/>
      <c r="T36" s="227"/>
      <c r="U36" s="164"/>
      <c r="V36" s="365" t="s">
        <v>9</v>
      </c>
      <c r="W36" s="357" t="s">
        <v>9</v>
      </c>
      <c r="X36" s="358" t="s">
        <v>291</v>
      </c>
      <c r="Y36" s="359" t="s">
        <v>125</v>
      </c>
      <c r="Z36" s="360" t="s">
        <v>146</v>
      </c>
      <c r="AH36">
        <f>IF((D11+D13)*4.5&gt;(E31+E32),(E31+E32)*0.01,0)</f>
        <v>0</v>
      </c>
    </row>
    <row r="37" spans="1:34" ht="15.6" x14ac:dyDescent="0.3">
      <c r="A37" s="344" t="str">
        <f>IF(D34&lt;10%,"OBS! Kontantinsatsen är under 10%  och bör höjas","")</f>
        <v>OBS! Kontantinsatsen är under 10%  och bör höjas</v>
      </c>
      <c r="I37" s="94"/>
      <c r="J37" s="163"/>
      <c r="K37" s="164"/>
      <c r="L37" s="163"/>
      <c r="M37" s="164"/>
      <c r="N37" s="377"/>
      <c r="O37" s="229" t="s">
        <v>158</v>
      </c>
      <c r="P37" s="222"/>
      <c r="Q37" s="223"/>
      <c r="R37" s="224">
        <f>IF(R35&lt;-8750,0,R35*A18/100)</f>
        <v>0</v>
      </c>
      <c r="S37" s="224">
        <f>IF(S35&lt;-8650,0,S35*A18/100)</f>
        <v>0</v>
      </c>
      <c r="T37" s="227">
        <f t="shared" ref="T37:T42" si="1">SUM(R37:S37)</f>
        <v>0</v>
      </c>
      <c r="U37" s="164"/>
      <c r="V37" s="366">
        <f>Z44*0.91</f>
        <v>42315</v>
      </c>
      <c r="W37" s="360" t="s">
        <v>147</v>
      </c>
      <c r="X37" s="358">
        <v>0.91</v>
      </c>
      <c r="Y37" s="359">
        <v>0</v>
      </c>
      <c r="Z37" s="359">
        <v>0</v>
      </c>
      <c r="AG37" s="94"/>
    </row>
    <row r="38" spans="1:34" x14ac:dyDescent="0.25">
      <c r="A38" s="94" t="s">
        <v>9</v>
      </c>
      <c r="B38" s="94"/>
      <c r="D38" s="248"/>
      <c r="E38" s="94"/>
      <c r="F38" s="94"/>
      <c r="G38" s="175"/>
      <c r="H38" s="94"/>
      <c r="I38" s="94"/>
      <c r="J38" s="163"/>
      <c r="K38" s="163"/>
      <c r="L38" s="163"/>
      <c r="M38" s="163"/>
      <c r="N38" s="377"/>
      <c r="O38" s="229" t="s">
        <v>160</v>
      </c>
      <c r="P38" s="222"/>
      <c r="Q38" s="223"/>
      <c r="R38" s="224">
        <f>IF(R35&lt;L15,0,(R35-L15)*L16/100)</f>
        <v>0</v>
      </c>
      <c r="S38" s="224">
        <f>IF(S35&lt;L15,0,(S35-L15)*L16/100)</f>
        <v>0</v>
      </c>
      <c r="T38" s="227">
        <f t="shared" si="1"/>
        <v>0</v>
      </c>
      <c r="U38" s="164"/>
      <c r="V38" s="359">
        <f>Z44*2.94</f>
        <v>136710</v>
      </c>
      <c r="W38" s="360" t="s">
        <v>266</v>
      </c>
      <c r="X38" s="358">
        <v>2.94</v>
      </c>
      <c r="Y38" s="359">
        <f>((0.91*Z44+0.332*(Q24-0.91*Z44)-Q25)*($A$18-1.2)/100)</f>
        <v>2724.1215599999996</v>
      </c>
      <c r="Z38" s="359">
        <f>((0.91*Z44+0.332*(R24-0.91*Z44)-R25)*($A$18-1.2)/100)</f>
        <v>2724.1215599999996</v>
      </c>
      <c r="AF38" s="94"/>
      <c r="AG38" s="94"/>
    </row>
    <row r="39" spans="1:34" ht="13.8" thickBot="1" x14ac:dyDescent="0.3">
      <c r="A39" s="94"/>
      <c r="F39" s="94"/>
      <c r="G39" s="249" t="s">
        <v>161</v>
      </c>
      <c r="H39" s="146">
        <f>H35+H36</f>
        <v>376641.375</v>
      </c>
      <c r="I39" s="94"/>
      <c r="J39" s="163"/>
      <c r="K39" s="164"/>
      <c r="L39" s="164"/>
      <c r="M39" s="163"/>
      <c r="N39" s="377"/>
      <c r="O39" s="229" t="s">
        <v>162</v>
      </c>
      <c r="P39" s="222"/>
      <c r="Q39" s="223">
        <f>L19</f>
        <v>689300</v>
      </c>
      <c r="R39" s="224">
        <f>IF(R35&lt;L19,0,(R35-L19)*L18/100)</f>
        <v>0</v>
      </c>
      <c r="S39" s="224">
        <f>IF(S35&lt;L19,0,(S35-L19)*L18/100)</f>
        <v>0</v>
      </c>
      <c r="T39" s="227">
        <f t="shared" si="1"/>
        <v>0</v>
      </c>
      <c r="U39" s="164"/>
      <c r="V39" s="359">
        <f>Z44*8.08</f>
        <v>375720</v>
      </c>
      <c r="W39" s="360" t="s">
        <v>267</v>
      </c>
      <c r="X39" s="358">
        <v>8.08</v>
      </c>
      <c r="Y39" s="359">
        <f>(1.584*Z44+(Q24-2.94*Z44)*0.111-Q25)*(A18-1.2)/100</f>
        <v>12332.418420000002</v>
      </c>
      <c r="Z39" s="359">
        <f>(1.584*Z44+(R24-2.94*Z44)*0.111-R25)*(A18-1.2)/100</f>
        <v>12332.418420000002</v>
      </c>
      <c r="AF39" s="94"/>
      <c r="AG39" s="94"/>
    </row>
    <row r="40" spans="1:34" ht="13.8" thickBot="1" x14ac:dyDescent="0.3">
      <c r="A40" s="168" t="s">
        <v>163</v>
      </c>
      <c r="B40" s="94"/>
      <c r="E40" s="94"/>
      <c r="F40" s="94"/>
      <c r="G40" s="113" t="s">
        <v>164</v>
      </c>
      <c r="H40" s="195">
        <f>Driftkostnad!I33+Driftkostnad!I35</f>
        <v>0</v>
      </c>
      <c r="I40" s="94"/>
      <c r="J40" s="164"/>
      <c r="K40" s="164"/>
      <c r="L40" s="164"/>
      <c r="M40" s="163"/>
      <c r="N40" s="377"/>
      <c r="O40" s="229" t="s">
        <v>165</v>
      </c>
      <c r="P40" s="222"/>
      <c r="Q40" s="250">
        <v>1</v>
      </c>
      <c r="R40" s="224">
        <f>ROUND(-L22*Q40,-2)</f>
        <v>0</v>
      </c>
      <c r="S40" s="224">
        <f>ROUND(-L23*Q40,-2)</f>
        <v>0</v>
      </c>
      <c r="T40" s="227">
        <f t="shared" si="1"/>
        <v>0</v>
      </c>
      <c r="U40" s="164"/>
      <c r="V40" s="367">
        <f>Z44*13.54</f>
        <v>629610</v>
      </c>
      <c r="W40" s="361" t="s">
        <v>292</v>
      </c>
      <c r="X40" s="358">
        <v>13.54</v>
      </c>
      <c r="Y40" s="362">
        <f>(2.155*Z44-Q25)*($A$18-1.2)/100</f>
        <v>25601.384999999995</v>
      </c>
      <c r="Z40" s="362">
        <f>(2.155*Z44-R25)*($A$18-1.2)/100</f>
        <v>25601.384999999995</v>
      </c>
      <c r="AF40" s="94"/>
      <c r="AG40" s="94"/>
    </row>
    <row r="41" spans="1:34" x14ac:dyDescent="0.25">
      <c r="A41" s="175" t="s">
        <v>166</v>
      </c>
      <c r="B41" s="139"/>
      <c r="D41" s="13" t="s">
        <v>167</v>
      </c>
      <c r="E41" s="251"/>
      <c r="F41" s="252"/>
      <c r="G41" s="249" t="s">
        <v>168</v>
      </c>
      <c r="H41" s="195">
        <f>B41*E41/100</f>
        <v>0</v>
      </c>
      <c r="I41" s="94"/>
      <c r="J41" s="164"/>
      <c r="K41" s="253" t="s">
        <v>169</v>
      </c>
      <c r="L41" s="253"/>
      <c r="M41" s="254"/>
      <c r="N41" s="377"/>
      <c r="O41" s="232" t="s">
        <v>170</v>
      </c>
      <c r="P41" s="233"/>
      <c r="Q41" s="234"/>
      <c r="R41" s="255">
        <f>L22</f>
        <v>0</v>
      </c>
      <c r="S41" s="255">
        <f>L23</f>
        <v>0</v>
      </c>
      <c r="T41" s="256">
        <f t="shared" si="1"/>
        <v>0</v>
      </c>
      <c r="U41" s="164"/>
      <c r="V41" s="368">
        <f>Z44*13.54</f>
        <v>629610</v>
      </c>
      <c r="W41" s="363" t="s">
        <v>293</v>
      </c>
      <c r="X41" s="358">
        <v>13.54</v>
      </c>
      <c r="Y41" s="364">
        <f>IF(Q24&gt;Y33,0,(2.155*Z44-Q25)*(A18-1.2)/100-(Q24-13.54*Z44)*0.03)</f>
        <v>44489.684999999998</v>
      </c>
      <c r="Z41" s="364">
        <f>IF(R24&gt;Y34,0,(2.155*Z44-R25)*(A18-1.2)/100-(R24-13.54*Z44)*0.03)</f>
        <v>44489.684999999998</v>
      </c>
      <c r="AB41" s="94"/>
      <c r="AC41" s="94"/>
      <c r="AD41" s="94"/>
      <c r="AE41" s="94"/>
      <c r="AF41" s="94"/>
      <c r="AG41" s="94"/>
    </row>
    <row r="42" spans="1:34" x14ac:dyDescent="0.25">
      <c r="F42" s="94"/>
      <c r="G42" s="113" t="s">
        <v>171</v>
      </c>
      <c r="H42" s="195">
        <f>Driftkostnad!I35</f>
        <v>0</v>
      </c>
      <c r="I42" s="94"/>
      <c r="J42" s="163"/>
      <c r="K42" s="223"/>
      <c r="L42" s="224" t="s">
        <v>172</v>
      </c>
      <c r="M42" s="227" t="s">
        <v>173</v>
      </c>
      <c r="N42" s="377"/>
      <c r="O42" s="224" t="s">
        <v>174</v>
      </c>
      <c r="P42" s="257"/>
      <c r="Q42" s="258"/>
      <c r="R42" s="224">
        <f>-V47</f>
        <v>0</v>
      </c>
      <c r="S42" s="224">
        <f>-W47</f>
        <v>0</v>
      </c>
      <c r="T42" s="224">
        <f t="shared" si="1"/>
        <v>0</v>
      </c>
      <c r="U42" s="164"/>
      <c r="V42" s="173"/>
      <c r="W42" s="173"/>
      <c r="X42" s="173"/>
      <c r="Y42" s="173"/>
      <c r="Z42" s="173"/>
      <c r="AB42" s="94"/>
      <c r="AE42" s="94"/>
      <c r="AF42" s="94"/>
      <c r="AG42" s="94"/>
    </row>
    <row r="43" spans="1:34" ht="13.8" thickBot="1" x14ac:dyDescent="0.3">
      <c r="A43" s="259" t="s">
        <v>9</v>
      </c>
      <c r="F43" s="94"/>
      <c r="G43" s="113" t="s">
        <v>175</v>
      </c>
      <c r="H43" s="195">
        <f>H39+H40+H41+H42</f>
        <v>376641.375</v>
      </c>
      <c r="I43" s="94"/>
      <c r="J43" s="163"/>
      <c r="K43" s="223">
        <f>F11</f>
        <v>0</v>
      </c>
      <c r="L43" s="224">
        <f>K43*1250</f>
        <v>0</v>
      </c>
      <c r="M43" s="260"/>
      <c r="N43" s="377"/>
      <c r="O43" s="261" t="s">
        <v>176</v>
      </c>
      <c r="P43" s="262"/>
      <c r="Q43" s="263"/>
      <c r="R43" s="264">
        <f>SUM(R37:R42)</f>
        <v>0</v>
      </c>
      <c r="S43" s="264">
        <f>SUM(S37:S42)</f>
        <v>0</v>
      </c>
      <c r="T43" s="265">
        <f>SUM(T36:T42)</f>
        <v>0</v>
      </c>
      <c r="U43" s="164"/>
      <c r="V43" s="238" t="s">
        <v>154</v>
      </c>
      <c r="W43" s="238"/>
      <c r="X43" s="238"/>
      <c r="Y43" s="239" t="s">
        <v>155</v>
      </c>
      <c r="Z43" s="240" t="s">
        <v>156</v>
      </c>
      <c r="AB43" s="94"/>
      <c r="AC43" s="94"/>
      <c r="AD43" s="94"/>
      <c r="AE43" s="94"/>
      <c r="AF43" s="94"/>
      <c r="AG43" s="94"/>
    </row>
    <row r="44" spans="1:34" ht="13.8" thickBot="1" x14ac:dyDescent="0.3">
      <c r="F44" s="94"/>
      <c r="G44" s="113" t="s">
        <v>177</v>
      </c>
      <c r="H44" s="195">
        <f>ROUND((F35+H41)*0.3,0)</f>
        <v>38550</v>
      </c>
      <c r="I44" s="94"/>
      <c r="J44" s="164"/>
      <c r="K44" s="223" t="s">
        <v>178</v>
      </c>
      <c r="L44" s="224">
        <f>IF(K43=2,150,0)</f>
        <v>0</v>
      </c>
      <c r="M44" s="260"/>
      <c r="N44" s="377"/>
      <c r="O44" s="266" t="s">
        <v>179</v>
      </c>
      <c r="P44" s="267"/>
      <c r="Q44" s="268"/>
      <c r="R44" s="269">
        <f>R30-R43</f>
        <v>0</v>
      </c>
      <c r="S44" s="269">
        <f>S30-S43</f>
        <v>0</v>
      </c>
      <c r="T44" s="270">
        <f>SUM(R44:S44)</f>
        <v>0</v>
      </c>
      <c r="U44" s="164"/>
      <c r="V44" s="244" t="s">
        <v>90</v>
      </c>
      <c r="W44" s="244"/>
      <c r="X44" s="245"/>
      <c r="Y44" s="376">
        <f>T11</f>
        <v>2019</v>
      </c>
      <c r="Z44" s="243">
        <f>L13</f>
        <v>46500</v>
      </c>
      <c r="AB44" s="94"/>
      <c r="AE44" s="94"/>
      <c r="AF44" s="94"/>
      <c r="AG44" s="94"/>
    </row>
    <row r="45" spans="1:34" x14ac:dyDescent="0.25">
      <c r="F45" s="94"/>
      <c r="G45" s="217" t="s">
        <v>180</v>
      </c>
      <c r="H45" s="146">
        <f>H43-H44</f>
        <v>338091.375</v>
      </c>
      <c r="I45" s="94"/>
      <c r="J45" s="164"/>
      <c r="K45" s="223" t="s">
        <v>181</v>
      </c>
      <c r="L45" s="224">
        <f>IF(K43=3,730,0)</f>
        <v>0</v>
      </c>
      <c r="M45" s="271"/>
      <c r="N45" s="377"/>
      <c r="O45" s="224" t="s">
        <v>182</v>
      </c>
      <c r="P45" s="257"/>
      <c r="Q45" s="258"/>
      <c r="R45" s="224">
        <f>SUM(R44:R44)</f>
        <v>0</v>
      </c>
      <c r="S45" s="224">
        <f>SUM(S44:S44)</f>
        <v>0</v>
      </c>
      <c r="T45" s="224">
        <f>SUM(T44:T44)</f>
        <v>0</v>
      </c>
      <c r="U45" s="164"/>
      <c r="V45" s="238" t="s">
        <v>159</v>
      </c>
      <c r="W45" s="238"/>
      <c r="X45" s="247"/>
      <c r="Y45" s="163"/>
      <c r="Z45" s="163"/>
      <c r="AD45" s="272"/>
      <c r="AG45" s="94"/>
    </row>
    <row r="46" spans="1:34" ht="13.8" thickBot="1" x14ac:dyDescent="0.3">
      <c r="A46" s="94"/>
      <c r="B46" s="94"/>
      <c r="E46" s="94"/>
      <c r="F46" s="94"/>
      <c r="G46" s="94"/>
      <c r="H46" s="94"/>
      <c r="I46" s="94"/>
      <c r="J46" s="163"/>
      <c r="K46" s="258" t="s">
        <v>183</v>
      </c>
      <c r="L46" s="224">
        <f>IF(K43=4,1740,0)</f>
        <v>0</v>
      </c>
      <c r="M46" s="271"/>
      <c r="N46" s="377"/>
      <c r="O46" s="273" t="s">
        <v>184</v>
      </c>
      <c r="P46" s="274"/>
      <c r="Q46" s="275"/>
      <c r="R46" s="276"/>
      <c r="S46" s="277"/>
      <c r="T46" s="278">
        <f>-H45</f>
        <v>-338091.375</v>
      </c>
      <c r="U46" s="164"/>
      <c r="V46" s="369" t="s">
        <v>125</v>
      </c>
      <c r="W46" s="239" t="s">
        <v>97</v>
      </c>
      <c r="X46" s="163"/>
      <c r="Y46" s="163"/>
      <c r="Z46" s="163"/>
      <c r="AB46" s="94"/>
      <c r="AC46" s="94"/>
      <c r="AD46" s="94"/>
      <c r="AE46" s="94"/>
      <c r="AF46" s="94"/>
      <c r="AG46" s="94"/>
    </row>
    <row r="47" spans="1:34" ht="13.8" thickBot="1" x14ac:dyDescent="0.3">
      <c r="B47" s="148" t="s">
        <v>185</v>
      </c>
      <c r="C47" s="148"/>
      <c r="F47" s="148"/>
      <c r="G47" s="148" t="s">
        <v>186</v>
      </c>
      <c r="H47" s="195">
        <f>ROUND(H43/12,0)</f>
        <v>31387</v>
      </c>
      <c r="I47" s="94"/>
      <c r="J47" s="163"/>
      <c r="K47" s="258" t="s">
        <v>187</v>
      </c>
      <c r="L47" s="224">
        <f>IF(K43=5,2990,0)</f>
        <v>0</v>
      </c>
      <c r="M47" s="271"/>
      <c r="N47" s="377"/>
      <c r="O47" s="229" t="s">
        <v>188</v>
      </c>
      <c r="P47" s="222"/>
      <c r="Q47" s="223"/>
      <c r="R47" s="225"/>
      <c r="S47" s="225"/>
      <c r="T47" s="226">
        <f>M50</f>
        <v>0</v>
      </c>
      <c r="U47" s="164"/>
      <c r="V47" s="385">
        <f>IF(Q24&lt;V37,Y37,IF(AND(Q24&lt;V38,Q24&gt;V37),Y38,IF(AND(Q24&lt;V39,Q24&gt;V38),Y39,IF(AND(Q24&lt;V40,Q24&gt;V39),Y40,IF(Q24&gt;V41,Y41)))))</f>
        <v>0</v>
      </c>
      <c r="W47" s="385">
        <f>IF(R24&lt;V37,Z37,IF(AND(R24&lt;V38,R24&gt;V37),Z38,IF(AND(R24&lt;V39,R24&gt;V38),Z39,IF(AND(R24&lt;V40,R24&gt;V39),Z40,IF(R24&gt;V41,Z41)))))</f>
        <v>0</v>
      </c>
      <c r="X47" s="163">
        <v>0</v>
      </c>
      <c r="Y47" s="163"/>
      <c r="Z47" s="163"/>
      <c r="AB47" s="94"/>
      <c r="AC47" s="94"/>
      <c r="AD47" s="94"/>
      <c r="AE47" s="94"/>
      <c r="AF47" s="94"/>
      <c r="AG47" s="94"/>
    </row>
    <row r="48" spans="1:34" ht="17.399999999999999" x14ac:dyDescent="0.3">
      <c r="A48" s="94"/>
      <c r="B48" s="94"/>
      <c r="E48" s="94"/>
      <c r="F48" s="94"/>
      <c r="G48" s="167" t="s">
        <v>189</v>
      </c>
      <c r="H48" s="279">
        <f>ROUND(H45/12,0)</f>
        <v>28174</v>
      </c>
      <c r="I48" s="280"/>
      <c r="J48" s="163"/>
      <c r="K48" s="258" t="s">
        <v>190</v>
      </c>
      <c r="L48" s="225">
        <f>IF(K43&gt;5,(2990+(K43-5)*1250),0)</f>
        <v>0</v>
      </c>
      <c r="M48" s="271"/>
      <c r="N48" s="377"/>
      <c r="O48" s="281" t="s">
        <v>191</v>
      </c>
      <c r="P48" s="282"/>
      <c r="Q48" s="282"/>
      <c r="R48" s="225"/>
      <c r="S48" s="225"/>
      <c r="T48" s="227">
        <f>F13</f>
        <v>0</v>
      </c>
      <c r="U48" s="164"/>
      <c r="V48" s="164"/>
      <c r="W48" s="164"/>
      <c r="X48" s="164"/>
      <c r="Y48" s="164"/>
      <c r="Z48" s="164"/>
    </row>
    <row r="49" spans="1:33" x14ac:dyDescent="0.25">
      <c r="B49" s="148" t="s">
        <v>192</v>
      </c>
      <c r="H49" s="283">
        <f>G35/12</f>
        <v>15754.933333333334</v>
      </c>
      <c r="I49" s="284"/>
      <c r="J49" s="163"/>
      <c r="K49" s="285"/>
      <c r="L49" s="286"/>
      <c r="M49" s="271"/>
      <c r="N49" s="377"/>
      <c r="O49" s="232" t="s">
        <v>193</v>
      </c>
      <c r="P49" s="233"/>
      <c r="Q49" s="234"/>
      <c r="R49" s="255"/>
      <c r="S49" s="286"/>
      <c r="T49" s="256">
        <f>SUM(T45:T48)</f>
        <v>-338091.375</v>
      </c>
      <c r="U49" s="164"/>
      <c r="V49" s="164" t="s">
        <v>194</v>
      </c>
      <c r="W49" s="164"/>
      <c r="X49" s="164"/>
      <c r="Y49" s="164"/>
      <c r="Z49" s="164"/>
      <c r="AB49" s="94"/>
      <c r="AE49" s="94"/>
      <c r="AF49" s="94"/>
      <c r="AG49" s="94"/>
    </row>
    <row r="50" spans="1:33" ht="15.6" x14ac:dyDescent="0.3">
      <c r="B50" s="167" t="s">
        <v>195</v>
      </c>
      <c r="E50" s="167"/>
      <c r="F50" s="167"/>
      <c r="G50" s="94"/>
      <c r="H50" s="287">
        <f>V50</f>
        <v>0</v>
      </c>
      <c r="I50" s="207"/>
      <c r="J50" s="163"/>
      <c r="K50" s="288"/>
      <c r="L50" s="289">
        <f>SUM(L43:L48)</f>
        <v>0</v>
      </c>
      <c r="M50" s="290">
        <f>L50*12</f>
        <v>0</v>
      </c>
      <c r="N50" s="377"/>
      <c r="O50" s="291" t="s">
        <v>196</v>
      </c>
      <c r="P50" s="253"/>
      <c r="Q50" s="292"/>
      <c r="R50" s="293"/>
      <c r="S50" s="293"/>
      <c r="T50" s="294">
        <f>T49/12</f>
        <v>-28174.28125</v>
      </c>
      <c r="U50" s="164"/>
      <c r="V50" s="357">
        <f>IF(T50&lt;1,0,T50)</f>
        <v>0</v>
      </c>
      <c r="W50" s="164"/>
      <c r="X50" s="164"/>
      <c r="Y50" s="164"/>
      <c r="Z50" s="164"/>
      <c r="AB50" s="94"/>
      <c r="AC50" s="94"/>
      <c r="AD50" s="94"/>
      <c r="AE50" s="94"/>
      <c r="AG50" s="94"/>
    </row>
    <row r="51" spans="1:33" x14ac:dyDescent="0.25">
      <c r="G51" s="94"/>
      <c r="H51" s="94"/>
      <c r="I51" s="94"/>
      <c r="J51" s="163"/>
      <c r="K51" s="164"/>
      <c r="L51" s="164"/>
      <c r="M51" s="164"/>
      <c r="N51" s="377"/>
      <c r="O51" s="380" t="s">
        <v>197</v>
      </c>
      <c r="P51" s="381"/>
      <c r="Q51" s="382"/>
      <c r="R51" s="383">
        <f>R43/12</f>
        <v>0</v>
      </c>
      <c r="S51" s="383">
        <f>S43/12</f>
        <v>0</v>
      </c>
      <c r="T51" s="384"/>
      <c r="U51" s="164"/>
      <c r="V51" s="164"/>
      <c r="W51" s="164"/>
      <c r="X51" s="164"/>
      <c r="Y51" s="164"/>
      <c r="Z51" s="164"/>
      <c r="AB51" s="94"/>
      <c r="AC51" s="94"/>
      <c r="AD51" s="94"/>
    </row>
    <row r="52" spans="1:33" x14ac:dyDescent="0.25">
      <c r="A52" s="13" t="s">
        <v>198</v>
      </c>
      <c r="B52" s="37" t="s">
        <v>199</v>
      </c>
      <c r="G52" s="94"/>
      <c r="H52" s="94"/>
      <c r="I52" s="94"/>
      <c r="J52" s="163"/>
      <c r="K52" s="163"/>
      <c r="L52" s="164"/>
      <c r="M52" s="164"/>
      <c r="N52" s="164"/>
      <c r="O52" s="164"/>
      <c r="P52" s="164"/>
      <c r="Q52" s="164"/>
      <c r="R52" s="163"/>
      <c r="S52" s="163"/>
      <c r="T52" s="164"/>
      <c r="U52" s="164"/>
      <c r="V52" s="164"/>
      <c r="W52" s="164"/>
      <c r="X52" s="164"/>
      <c r="Y52" s="164"/>
      <c r="Z52" s="164"/>
      <c r="AG52" s="94"/>
    </row>
    <row r="53" spans="1:33" x14ac:dyDescent="0.25">
      <c r="A53" t="s">
        <v>9</v>
      </c>
      <c r="B53" s="37" t="s">
        <v>200</v>
      </c>
      <c r="D53" s="94"/>
      <c r="E53" s="94"/>
      <c r="F53" s="94"/>
      <c r="G53" s="94"/>
      <c r="I53" s="94"/>
      <c r="J53" s="94"/>
      <c r="K53" s="94"/>
      <c r="R53" s="94"/>
      <c r="S53" s="94"/>
      <c r="AB53" s="94"/>
      <c r="AC53" s="94"/>
      <c r="AD53" s="94"/>
      <c r="AE53" s="94"/>
      <c r="AG53" s="94"/>
    </row>
    <row r="54" spans="1:33" x14ac:dyDescent="0.25">
      <c r="B54" s="37" t="s">
        <v>201</v>
      </c>
      <c r="D54" s="94" t="s">
        <v>202</v>
      </c>
      <c r="E54" s="94"/>
      <c r="F54" s="94"/>
      <c r="I54" s="94"/>
      <c r="R54" s="94"/>
      <c r="S54" s="94"/>
      <c r="AB54" s="94"/>
      <c r="AC54" s="94"/>
      <c r="AD54" s="94"/>
      <c r="AE54" s="94"/>
      <c r="AF54" s="94"/>
      <c r="AG54" s="94"/>
    </row>
    <row r="55" spans="1:33" x14ac:dyDescent="0.25">
      <c r="B55" s="37" t="s">
        <v>265</v>
      </c>
      <c r="D55" s="94"/>
      <c r="E55" s="94"/>
      <c r="F55" s="94"/>
      <c r="G55" s="296"/>
      <c r="I55" s="94"/>
      <c r="J55" s="190"/>
      <c r="L55" s="295"/>
      <c r="S55" s="94"/>
      <c r="T55" s="94"/>
      <c r="U55" s="94"/>
      <c r="V55" s="94"/>
      <c r="W55" s="94"/>
      <c r="AB55" s="94"/>
      <c r="AC55" s="94"/>
      <c r="AE55" s="94"/>
      <c r="AF55" s="94"/>
    </row>
    <row r="56" spans="1:33" x14ac:dyDescent="0.25">
      <c r="B56" s="297" t="s">
        <v>297</v>
      </c>
      <c r="I56" s="94"/>
      <c r="Z56" s="94"/>
      <c r="AA56" s="94"/>
      <c r="AB56" s="94"/>
      <c r="AC56" s="94"/>
      <c r="AE56" s="94"/>
      <c r="AF56" s="94"/>
    </row>
    <row r="57" spans="1:33" ht="13.8" x14ac:dyDescent="0.25">
      <c r="B57" s="323" t="s">
        <v>299</v>
      </c>
      <c r="N57" s="94"/>
      <c r="O57" s="94"/>
      <c r="P57" s="94"/>
      <c r="Q57" s="94"/>
      <c r="R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</row>
    <row r="58" spans="1:33" ht="13.8" x14ac:dyDescent="0.25">
      <c r="B58" s="323" t="s">
        <v>300</v>
      </c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</row>
    <row r="59" spans="1:33" x14ac:dyDescent="0.25">
      <c r="A59" s="147" t="str">
        <f>Underlagskalkyl!A54</f>
        <v>2024-07-04 (2019-02-05 BP)</v>
      </c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</row>
    <row r="60" spans="1:33" x14ac:dyDescent="0.25">
      <c r="H60" s="298"/>
      <c r="I60" s="298"/>
      <c r="N60" s="94"/>
      <c r="O60" s="94"/>
      <c r="P60" s="94"/>
      <c r="Q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</row>
    <row r="61" spans="1:33" x14ac:dyDescent="0.25">
      <c r="M61" s="94"/>
      <c r="N61" s="94"/>
      <c r="O61" s="94"/>
      <c r="P61" s="94"/>
      <c r="Q61" s="94"/>
      <c r="S61" s="94"/>
      <c r="T61" s="94"/>
      <c r="U61" s="94"/>
      <c r="V61" s="94"/>
      <c r="W61" s="94"/>
      <c r="AA61" s="94"/>
      <c r="AB61" s="94"/>
      <c r="AC61" s="94"/>
      <c r="AD61" s="94"/>
      <c r="AE61" s="94"/>
      <c r="AF61" s="94"/>
    </row>
    <row r="62" spans="1:33" hidden="1" x14ac:dyDescent="0.25">
      <c r="N62" s="94"/>
      <c r="O62" s="94"/>
      <c r="P62" s="94"/>
      <c r="Q62" s="94"/>
    </row>
    <row r="63" spans="1:33" hidden="1" x14ac:dyDescent="0.25">
      <c r="A63" s="94"/>
      <c r="B63" s="94"/>
      <c r="C63" s="94"/>
      <c r="D63" s="94"/>
      <c r="E63" s="94"/>
      <c r="F63" s="94"/>
      <c r="G63" s="94"/>
      <c r="N63" s="94"/>
      <c r="O63" s="94"/>
      <c r="P63" s="94"/>
      <c r="Q63" s="94"/>
    </row>
    <row r="64" spans="1:33" hidden="1" x14ac:dyDescent="0.25">
      <c r="A64" s="94"/>
      <c r="B64" s="94"/>
      <c r="C64" s="94"/>
      <c r="D64" s="94"/>
      <c r="E64" s="94"/>
      <c r="F64" s="94"/>
      <c r="H64" s="94"/>
      <c r="I64" s="94"/>
      <c r="N64" s="94"/>
      <c r="O64" s="94"/>
      <c r="P64" s="94"/>
      <c r="Q64" s="94"/>
    </row>
    <row r="65" spans="1:17" hidden="1" x14ac:dyDescent="0.25">
      <c r="G65" s="299" t="s">
        <v>4</v>
      </c>
      <c r="H65" s="170">
        <f ca="1">NOW()</f>
        <v>46097.676604050925</v>
      </c>
      <c r="I65" s="170"/>
      <c r="N65" s="94"/>
      <c r="O65" s="94"/>
      <c r="P65" s="94"/>
      <c r="Q65" s="94"/>
    </row>
    <row r="66" spans="1:17" hidden="1" x14ac:dyDescent="0.25">
      <c r="N66" s="94"/>
      <c r="O66" s="94"/>
      <c r="P66" s="94"/>
      <c r="Q66" s="94"/>
    </row>
    <row r="67" spans="1:17" hidden="1" x14ac:dyDescent="0.25">
      <c r="N67" s="94"/>
      <c r="O67" s="94"/>
      <c r="P67" s="94"/>
      <c r="Q67" s="94"/>
    </row>
    <row r="68" spans="1:17" hidden="1" x14ac:dyDescent="0.25">
      <c r="N68" s="94"/>
      <c r="O68" s="94"/>
      <c r="P68" s="94"/>
      <c r="Q68" s="94"/>
    </row>
    <row r="69" spans="1:17" hidden="1" x14ac:dyDescent="0.25">
      <c r="N69" s="94"/>
      <c r="O69" s="94"/>
      <c r="P69" s="94"/>
      <c r="Q69" s="94"/>
    </row>
    <row r="70" spans="1:17" hidden="1" x14ac:dyDescent="0.25">
      <c r="G70" s="94"/>
      <c r="N70" s="94"/>
      <c r="O70" s="94"/>
      <c r="P70" s="94"/>
      <c r="Q70" s="94"/>
    </row>
    <row r="71" spans="1:17" ht="17.399999999999999" hidden="1" x14ac:dyDescent="0.3">
      <c r="A71" s="165" t="s">
        <v>203</v>
      </c>
      <c r="B71" s="94"/>
      <c r="C71" s="94"/>
      <c r="D71" s="94"/>
      <c r="E71" s="94"/>
      <c r="F71" s="94"/>
      <c r="G71" s="94"/>
      <c r="H71" s="94"/>
      <c r="I71" s="94"/>
      <c r="N71" s="94"/>
      <c r="O71" s="94"/>
      <c r="P71" s="94"/>
      <c r="Q71" s="94"/>
    </row>
    <row r="72" spans="1:17" hidden="1" x14ac:dyDescent="0.25">
      <c r="A72" s="94"/>
      <c r="B72" s="94"/>
      <c r="C72" s="94"/>
      <c r="D72" s="94"/>
      <c r="E72" s="94"/>
      <c r="F72" s="94"/>
      <c r="H72" s="94"/>
      <c r="I72" s="94"/>
      <c r="N72" s="94"/>
      <c r="O72" s="94"/>
      <c r="P72" s="94"/>
      <c r="Q72" s="94"/>
    </row>
    <row r="73" spans="1:17" hidden="1" x14ac:dyDescent="0.25">
      <c r="A73" s="175" t="s">
        <v>204</v>
      </c>
      <c r="B73" s="94">
        <f>A11</f>
        <v>0</v>
      </c>
      <c r="C73" s="94"/>
      <c r="D73" s="94" t="s">
        <v>205</v>
      </c>
      <c r="E73" s="94" t="str">
        <f>A16</f>
        <v>Tomt 2 - Horndalsgränd</v>
      </c>
      <c r="F73" s="94"/>
      <c r="G73" s="175" t="s">
        <v>206</v>
      </c>
      <c r="H73" s="146">
        <f>D18</f>
        <v>2019</v>
      </c>
      <c r="I73" s="94"/>
    </row>
    <row r="74" spans="1:17" hidden="1" x14ac:dyDescent="0.25">
      <c r="A74" s="175" t="s">
        <v>207</v>
      </c>
      <c r="B74" s="94">
        <f>A13</f>
        <v>0</v>
      </c>
      <c r="C74" s="94"/>
      <c r="D74" s="94" t="s">
        <v>208</v>
      </c>
      <c r="E74" s="94" t="str">
        <f>D16</f>
        <v>Borås</v>
      </c>
      <c r="F74" s="94"/>
      <c r="G74" s="175" t="s">
        <v>209</v>
      </c>
      <c r="H74" s="146">
        <f>E18</f>
        <v>2019</v>
      </c>
      <c r="I74" s="94"/>
    </row>
    <row r="75" spans="1:17" hidden="1" x14ac:dyDescent="0.25">
      <c r="A75" s="175" t="s">
        <v>210</v>
      </c>
      <c r="B75" s="94" t="str">
        <f>G11</f>
        <v xml:space="preserve">Fredrik Palm              </v>
      </c>
      <c r="C75" s="94"/>
      <c r="D75" s="94"/>
      <c r="E75" s="94"/>
      <c r="F75" s="94"/>
      <c r="G75" s="175"/>
      <c r="H75" s="300"/>
      <c r="I75" s="300"/>
    </row>
    <row r="76" spans="1:17" hidden="1" x14ac:dyDescent="0.25">
      <c r="A76" s="94"/>
      <c r="B76" s="94"/>
      <c r="C76" s="94"/>
      <c r="D76" s="94" t="s">
        <v>211</v>
      </c>
      <c r="E76" s="94"/>
      <c r="F76" s="301">
        <f>ROUND(0.75*H23,-4)</f>
        <v>4430000</v>
      </c>
      <c r="G76" s="175"/>
      <c r="H76" s="300"/>
      <c r="I76" s="300"/>
    </row>
    <row r="77" spans="1:17" hidden="1" x14ac:dyDescent="0.25">
      <c r="C77" s="94"/>
      <c r="D77" s="94"/>
      <c r="E77" s="94"/>
      <c r="F77" s="94"/>
      <c r="G77" s="94"/>
      <c r="H77" s="94"/>
      <c r="I77" s="94"/>
    </row>
    <row r="78" spans="1:17" hidden="1" x14ac:dyDescent="0.25">
      <c r="A78" s="13" t="s">
        <v>212</v>
      </c>
      <c r="B78" s="94" t="str">
        <f>F16</f>
        <v>Smart 150 - industriell</v>
      </c>
      <c r="C78" s="94"/>
      <c r="D78" s="94" t="s">
        <v>213</v>
      </c>
      <c r="E78" s="94"/>
      <c r="F78" s="94"/>
      <c r="G78" s="94"/>
      <c r="H78" s="94"/>
      <c r="I78" s="94"/>
    </row>
    <row r="79" spans="1:17" hidden="1" x14ac:dyDescent="0.25">
      <c r="A79" s="13" t="s">
        <v>214</v>
      </c>
      <c r="B79" s="94" t="str">
        <f>F18</f>
        <v>Nej</v>
      </c>
      <c r="C79" s="94"/>
      <c r="D79" s="94" t="s">
        <v>215</v>
      </c>
      <c r="E79" s="94"/>
      <c r="F79" s="94"/>
      <c r="H79" s="94"/>
      <c r="I79" s="94"/>
    </row>
    <row r="80" spans="1:17" hidden="1" x14ac:dyDescent="0.25">
      <c r="A80" s="13" t="s">
        <v>216</v>
      </c>
      <c r="B80" s="302">
        <f>H20/C18</f>
        <v>29360</v>
      </c>
    </row>
    <row r="81" spans="1:30" hidden="1" x14ac:dyDescent="0.25">
      <c r="A81" t="s">
        <v>217</v>
      </c>
      <c r="D81" t="s">
        <v>218</v>
      </c>
    </row>
    <row r="82" spans="1:30" hidden="1" x14ac:dyDescent="0.25">
      <c r="G82" s="94"/>
    </row>
    <row r="83" spans="1:30" ht="21" hidden="1" x14ac:dyDescent="0.4">
      <c r="A83" s="303" t="s">
        <v>219</v>
      </c>
      <c r="B83" s="141"/>
      <c r="C83" s="141"/>
      <c r="D83" s="141"/>
      <c r="E83" s="94"/>
      <c r="F83" s="94"/>
      <c r="H83" s="94"/>
      <c r="I83" s="94"/>
    </row>
    <row r="84" spans="1:30" hidden="1" x14ac:dyDescent="0.25"/>
    <row r="85" spans="1:30" hidden="1" x14ac:dyDescent="0.25">
      <c r="A85" s="304"/>
      <c r="B85" s="194">
        <f>D18</f>
        <v>2019</v>
      </c>
      <c r="C85" s="194">
        <f>B85+1</f>
        <v>2020</v>
      </c>
      <c r="D85" s="194">
        <f>C85+1</f>
        <v>2021</v>
      </c>
      <c r="E85" s="194">
        <f>D85+1</f>
        <v>2022</v>
      </c>
      <c r="F85" s="194">
        <f>E85+1</f>
        <v>2023</v>
      </c>
      <c r="G85" s="305">
        <f>F85+1</f>
        <v>2024</v>
      </c>
      <c r="H85" s="306"/>
      <c r="I85" s="306"/>
    </row>
    <row r="86" spans="1:30" hidden="1" x14ac:dyDescent="0.25">
      <c r="A86" s="130" t="s">
        <v>220</v>
      </c>
      <c r="B86" s="307">
        <f>G35</f>
        <v>189059.20000000001</v>
      </c>
      <c r="C86" s="307">
        <f>B86</f>
        <v>189059.20000000001</v>
      </c>
      <c r="D86" s="307">
        <f>C86</f>
        <v>189059.20000000001</v>
      </c>
      <c r="E86" s="307">
        <f>D86</f>
        <v>189059.20000000001</v>
      </c>
      <c r="F86" s="307">
        <f>E86</f>
        <v>189059.20000000001</v>
      </c>
      <c r="G86" s="146">
        <f>F86</f>
        <v>189059.20000000001</v>
      </c>
      <c r="H86" s="78"/>
      <c r="I86" s="78"/>
    </row>
    <row r="87" spans="1:30" hidden="1" x14ac:dyDescent="0.25">
      <c r="A87" s="130" t="s">
        <v>221</v>
      </c>
      <c r="B87" s="307">
        <f>F35</f>
        <v>128501.17499999999</v>
      </c>
      <c r="C87" s="307" t="e">
        <f>($E$29-$G$29)*$C$23/100+($E$30-$G$30)*#REF!/100+(#REF!-#REF!)*$C$24/100+(#REF!-#REF!)*$C$26/100+($E$31-$G$31)*$C$23/100+($E$32-$G$32)*$C$24/100+($E$33-$G$33)*$C$26/100</f>
        <v>#REF!</v>
      </c>
      <c r="D87" s="307" t="e">
        <f>($E$29-2*$G$29)*$C$23/100+($E$30-2*$G$30)*#REF!/100+(#REF!-2*#REF!)*$C$24/100+(#REF!-2*#REF!)*$C$26/100+($E$31-2*$G$31)*$C$23/100+($E$32-2*$G$32)*$C$24/100+($E$33-2*$G$33)*$C$26/100</f>
        <v>#REF!</v>
      </c>
      <c r="E87" s="307" t="e">
        <f>($E$29-3*$G$29)*$C$23/100+($E$30-3*$G$30)*#REF!/100+(#REF!-3*#REF!)*$C$24/100+(#REF!-3*#REF!)*$C$26/100+($E$31-3*$G$31)*$C$23/100+($E$32-3*$G$32)*$C$24/100+($E$33-3*$G$33)*$C$26/100</f>
        <v>#REF!</v>
      </c>
      <c r="F87" s="307" t="e">
        <f>($E$29-4*$G$29)*$C$23/100+($E$30-4*$G$30)*#REF!/100+(#REF!-4*#REF!)*$C$24/100+(#REF!-4*#REF!)*$C$26/100+($E$31-4*$G$31)*$C$23/100+($E$32-4*$G$32)*$C$24/100+($E$33-4*$G$33)*$C$26/100</f>
        <v>#REF!</v>
      </c>
      <c r="G87" s="307" t="e">
        <f>($E$29-5*$G$29)*$C$23/100+($E$30-5*$G$30)*#REF!/100+(#REF!-5*#REF!)*$C$24/100+(#REF!-5*#REF!)*$C$26/100+($E$31-5*$G$31)*$C$23/100+($E$32-5*$G$32)*$C$24/100+($E$33-5*$G$33)*$C$26/100</f>
        <v>#REF!</v>
      </c>
      <c r="H87" s="78"/>
      <c r="I87" s="78"/>
    </row>
    <row r="88" spans="1:30" hidden="1" x14ac:dyDescent="0.25">
      <c r="A88" s="130"/>
      <c r="B88" s="307"/>
      <c r="C88" s="307"/>
      <c r="D88" s="307"/>
      <c r="E88" s="307"/>
      <c r="F88" s="307"/>
      <c r="G88" s="146"/>
      <c r="H88" s="78"/>
      <c r="I88" s="78"/>
    </row>
    <row r="89" spans="1:30" hidden="1" x14ac:dyDescent="0.25">
      <c r="A89" s="130" t="s">
        <v>222</v>
      </c>
      <c r="B89" s="307">
        <f>H40</f>
        <v>0</v>
      </c>
      <c r="C89" s="307">
        <f>B89*D98/100+B89</f>
        <v>0</v>
      </c>
      <c r="D89" s="307">
        <f>(1+D98/100)*C89</f>
        <v>0</v>
      </c>
      <c r="E89" s="307">
        <f>(1+D98/100)*D89</f>
        <v>0</v>
      </c>
      <c r="F89" s="307">
        <f>(1+D98/100)*E89</f>
        <v>0</v>
      </c>
      <c r="G89" s="146">
        <f>(1+D98/100)*F89</f>
        <v>0</v>
      </c>
      <c r="H89" s="78"/>
      <c r="I89" s="78"/>
      <c r="K89" t="s">
        <v>223</v>
      </c>
      <c r="L89" t="s">
        <v>224</v>
      </c>
      <c r="M89" s="300">
        <f>D97</f>
        <v>3</v>
      </c>
    </row>
    <row r="90" spans="1:30" hidden="1" x14ac:dyDescent="0.25">
      <c r="A90" s="130" t="s">
        <v>225</v>
      </c>
      <c r="B90" s="307">
        <v>0</v>
      </c>
      <c r="C90" s="307">
        <v>0</v>
      </c>
      <c r="D90" s="307">
        <v>0</v>
      </c>
      <c r="E90" s="307">
        <v>0</v>
      </c>
      <c r="F90" s="307">
        <v>0</v>
      </c>
      <c r="G90" s="185">
        <f>F76*0.5*0.015</f>
        <v>33225</v>
      </c>
      <c r="H90" s="78"/>
      <c r="I90" s="78"/>
      <c r="M90" s="300"/>
    </row>
    <row r="91" spans="1:30" hidden="1" x14ac:dyDescent="0.25">
      <c r="A91" s="172" t="s">
        <v>226</v>
      </c>
      <c r="B91" s="307">
        <f t="shared" ref="B91:G91" si="2">-(B87+B88)*0.3</f>
        <v>-38550.352499999994</v>
      </c>
      <c r="C91" s="307" t="e">
        <f t="shared" si="2"/>
        <v>#REF!</v>
      </c>
      <c r="D91" s="307" t="e">
        <f t="shared" si="2"/>
        <v>#REF!</v>
      </c>
      <c r="E91" s="307" t="e">
        <f t="shared" si="2"/>
        <v>#REF!</v>
      </c>
      <c r="F91" s="307" t="e">
        <f t="shared" si="2"/>
        <v>#REF!</v>
      </c>
      <c r="G91" s="146" t="e">
        <f t="shared" si="2"/>
        <v>#REF!</v>
      </c>
      <c r="H91" s="78"/>
      <c r="I91" s="78"/>
      <c r="J91" s="308" t="s">
        <v>227</v>
      </c>
      <c r="K91" s="94">
        <f>D11+D13</f>
        <v>0</v>
      </c>
    </row>
    <row r="92" spans="1:30" hidden="1" x14ac:dyDescent="0.25">
      <c r="A92" s="172" t="s">
        <v>228</v>
      </c>
      <c r="B92" s="307">
        <f t="shared" ref="B92:G92" si="3">SUM(B86:B91)</f>
        <v>279010.02250000002</v>
      </c>
      <c r="C92" s="307" t="e">
        <f t="shared" si="3"/>
        <v>#REF!</v>
      </c>
      <c r="D92" s="307" t="e">
        <f t="shared" si="3"/>
        <v>#REF!</v>
      </c>
      <c r="E92" s="307" t="e">
        <f t="shared" si="3"/>
        <v>#REF!</v>
      </c>
      <c r="F92" s="307" t="e">
        <f t="shared" si="3"/>
        <v>#REF!</v>
      </c>
      <c r="G92" s="146" t="e">
        <f t="shared" si="3"/>
        <v>#REF!</v>
      </c>
      <c r="H92" s="78"/>
      <c r="I92" s="78"/>
      <c r="J92">
        <v>2</v>
      </c>
      <c r="K92">
        <f>K91*(1+$M$89/100)</f>
        <v>0</v>
      </c>
      <c r="AD92" s="94"/>
    </row>
    <row r="93" spans="1:30" hidden="1" x14ac:dyDescent="0.25">
      <c r="A93" s="172" t="s">
        <v>229</v>
      </c>
      <c r="B93" s="307">
        <f t="shared" ref="B93:G93" si="4">B92/12</f>
        <v>23250.835208333334</v>
      </c>
      <c r="C93" s="307" t="e">
        <f t="shared" si="4"/>
        <v>#REF!</v>
      </c>
      <c r="D93" s="307" t="e">
        <f t="shared" si="4"/>
        <v>#REF!</v>
      </c>
      <c r="E93" s="307" t="e">
        <f t="shared" si="4"/>
        <v>#REF!</v>
      </c>
      <c r="F93" s="307" t="e">
        <f t="shared" si="4"/>
        <v>#REF!</v>
      </c>
      <c r="G93" s="146" t="e">
        <f t="shared" si="4"/>
        <v>#REF!</v>
      </c>
      <c r="H93" s="78"/>
      <c r="I93" s="78"/>
      <c r="J93">
        <v>3</v>
      </c>
      <c r="K93">
        <f>K92*(1+$M$89/100)</f>
        <v>0</v>
      </c>
    </row>
    <row r="94" spans="1:30" hidden="1" x14ac:dyDescent="0.25">
      <c r="A94" s="249" t="s">
        <v>230</v>
      </c>
      <c r="B94" s="309">
        <v>0</v>
      </c>
      <c r="C94" s="309" t="e">
        <f>-B93+C93</f>
        <v>#REF!</v>
      </c>
      <c r="D94" s="309" t="e">
        <f>-C93+D93</f>
        <v>#REF!</v>
      </c>
      <c r="E94" s="309" t="e">
        <f>-D93+E93</f>
        <v>#REF!</v>
      </c>
      <c r="F94" s="309" t="e">
        <f>-E93+F93</f>
        <v>#REF!</v>
      </c>
      <c r="G94" s="310" t="e">
        <f>-F93+G93</f>
        <v>#REF!</v>
      </c>
      <c r="H94" s="78"/>
      <c r="I94" s="78"/>
      <c r="J94">
        <v>4</v>
      </c>
      <c r="K94">
        <f>K93*(1+$M$89/100)</f>
        <v>0</v>
      </c>
    </row>
    <row r="95" spans="1:30" hidden="1" x14ac:dyDescent="0.25">
      <c r="A95" s="217" t="s">
        <v>231</v>
      </c>
      <c r="B95" s="237" t="e">
        <f>B92/K91*100</f>
        <v>#DIV/0!</v>
      </c>
      <c r="C95" s="237" t="e">
        <f>C92/K92*100</f>
        <v>#REF!</v>
      </c>
      <c r="D95" s="237" t="e">
        <f>D92/K93*100</f>
        <v>#REF!</v>
      </c>
      <c r="E95" s="237" t="e">
        <f>E92/K94*100</f>
        <v>#REF!</v>
      </c>
      <c r="F95" s="237" t="e">
        <f>F92/K95*100</f>
        <v>#REF!</v>
      </c>
      <c r="G95" s="146" t="e">
        <f>G92/K95*100</f>
        <v>#REF!</v>
      </c>
      <c r="H95" s="78"/>
      <c r="I95" s="78"/>
      <c r="J95">
        <v>5</v>
      </c>
      <c r="K95" s="94">
        <f>K94*(1+$M$89/100)</f>
        <v>0</v>
      </c>
    </row>
    <row r="96" spans="1:30" hidden="1" x14ac:dyDescent="0.25">
      <c r="A96" s="94"/>
      <c r="B96" s="94"/>
      <c r="C96" s="94"/>
      <c r="D96" s="94"/>
      <c r="E96" s="94"/>
      <c r="F96" s="94"/>
      <c r="G96" s="94"/>
    </row>
    <row r="97" spans="1:9" hidden="1" x14ac:dyDescent="0.25">
      <c r="A97" s="295" t="s">
        <v>232</v>
      </c>
      <c r="C97" s="94"/>
      <c r="D97" s="311">
        <v>3</v>
      </c>
      <c r="E97" s="94"/>
      <c r="F97" s="94"/>
      <c r="G97" s="94"/>
      <c r="H97" s="94"/>
      <c r="I97" s="94"/>
    </row>
    <row r="98" spans="1:9" hidden="1" x14ac:dyDescent="0.25">
      <c r="A98" s="295" t="s">
        <v>233</v>
      </c>
      <c r="C98" s="94"/>
      <c r="D98" s="311">
        <v>4</v>
      </c>
      <c r="F98" s="94"/>
      <c r="G98" s="94"/>
      <c r="H98" s="94"/>
      <c r="I98" s="94"/>
    </row>
    <row r="99" spans="1:9" hidden="1" x14ac:dyDescent="0.25">
      <c r="A99" s="94"/>
      <c r="B99" s="94"/>
      <c r="C99" s="94"/>
      <c r="D99" s="94"/>
      <c r="E99" s="94"/>
      <c r="F99" s="94"/>
      <c r="G99" s="94"/>
      <c r="H99" s="94"/>
      <c r="I99" s="94"/>
    </row>
    <row r="100" spans="1:9" hidden="1" x14ac:dyDescent="0.25">
      <c r="A100" s="94" t="s">
        <v>234</v>
      </c>
      <c r="B100" s="94"/>
      <c r="C100" s="94"/>
      <c r="D100" s="94"/>
      <c r="E100" s="94"/>
      <c r="F100" s="94"/>
      <c r="G100" s="94"/>
      <c r="H100" s="94"/>
      <c r="I100" s="94"/>
    </row>
    <row r="101" spans="1:9" hidden="1" x14ac:dyDescent="0.25">
      <c r="A101" s="94" t="s">
        <v>235</v>
      </c>
      <c r="B101" s="94"/>
      <c r="C101" s="94"/>
      <c r="D101" s="94"/>
      <c r="E101" s="94"/>
      <c r="F101" s="94"/>
      <c r="G101" s="94"/>
      <c r="H101" s="94"/>
      <c r="I101" s="94"/>
    </row>
    <row r="102" spans="1:9" hidden="1" x14ac:dyDescent="0.25">
      <c r="A102" s="94" t="s">
        <v>236</v>
      </c>
      <c r="B102" s="94"/>
      <c r="C102" s="94"/>
      <c r="D102" s="94"/>
      <c r="E102" s="94"/>
      <c r="F102" s="94"/>
      <c r="H102" s="94"/>
      <c r="I102" s="94"/>
    </row>
    <row r="103" spans="1:9" hidden="1" x14ac:dyDescent="0.25">
      <c r="A103" s="312" t="str">
        <f>A59</f>
        <v>2024-07-04 (2019-02-05 BP)</v>
      </c>
      <c r="H103" s="298"/>
      <c r="I103" s="298"/>
    </row>
    <row r="105" spans="1:9" x14ac:dyDescent="0.25">
      <c r="G105" s="94"/>
    </row>
    <row r="106" spans="1:9" x14ac:dyDescent="0.25">
      <c r="A106" s="94"/>
      <c r="B106" s="94"/>
      <c r="C106" s="94"/>
      <c r="D106" s="94"/>
      <c r="E106" s="94"/>
      <c r="F106" s="94"/>
      <c r="G106" s="94"/>
      <c r="H106" s="94"/>
      <c r="I106" s="94"/>
    </row>
    <row r="107" spans="1:9" x14ac:dyDescent="0.25">
      <c r="A107" s="94"/>
      <c r="B107" s="94"/>
      <c r="C107" s="94"/>
      <c r="D107" s="94"/>
      <c r="E107" s="94"/>
      <c r="F107" s="94"/>
      <c r="G107" s="94"/>
      <c r="H107" s="94"/>
      <c r="I107" s="94"/>
    </row>
    <row r="108" spans="1:9" x14ac:dyDescent="0.25">
      <c r="A108" s="94"/>
      <c r="B108" s="94"/>
      <c r="C108" s="94"/>
      <c r="D108" s="94"/>
      <c r="E108" s="94"/>
      <c r="F108" s="94"/>
      <c r="G108" s="94"/>
      <c r="H108" s="94"/>
      <c r="I108" s="94"/>
    </row>
  </sheetData>
  <sheetProtection password="C74E" sheet="1" objects="1" scenarios="1"/>
  <pageMargins left="1" right="0.1701388888888889" top="0.50972222222222219" bottom="0.52013888888888893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D3D5-C737-4953-8108-3FE800DEE0B0}">
  <dimension ref="A2:I51"/>
  <sheetViews>
    <sheetView showGridLines="0" showZeros="0" topLeftCell="A3" workbookViewId="0">
      <selection activeCell="E18" sqref="E18"/>
    </sheetView>
  </sheetViews>
  <sheetFormatPr defaultRowHeight="13.2" x14ac:dyDescent="0.25"/>
  <cols>
    <col min="1" max="1" width="12.33203125" customWidth="1"/>
    <col min="3" max="3" width="6.33203125" customWidth="1"/>
    <col min="4" max="4" width="8.5546875" customWidth="1"/>
    <col min="5" max="5" width="9.88671875" customWidth="1"/>
    <col min="6" max="6" width="10.33203125" customWidth="1"/>
    <col min="8" max="8" width="8.5546875" customWidth="1"/>
    <col min="9" max="9" width="12.6640625" customWidth="1"/>
  </cols>
  <sheetData>
    <row r="2" spans="1:9" ht="22.8" x14ac:dyDescent="0.4">
      <c r="E2" s="313"/>
    </row>
    <row r="3" spans="1:9" ht="15.75" customHeight="1" x14ac:dyDescent="0.4">
      <c r="E3" s="313"/>
    </row>
    <row r="4" spans="1:9" ht="22.8" x14ac:dyDescent="0.4">
      <c r="A4" s="313" t="s">
        <v>237</v>
      </c>
      <c r="C4" s="313"/>
      <c r="E4" s="313"/>
      <c r="I4" s="314">
        <f>Bokalkyl!H6</f>
        <v>46097</v>
      </c>
    </row>
    <row r="5" spans="1:9" ht="22.8" x14ac:dyDescent="0.4">
      <c r="E5" s="313"/>
    </row>
    <row r="6" spans="1:9" x14ac:dyDescent="0.25">
      <c r="A6" s="109" t="s">
        <v>2</v>
      </c>
      <c r="B6" s="111"/>
      <c r="C6" s="111"/>
      <c r="D6" s="315"/>
      <c r="E6" s="114"/>
      <c r="F6" s="129" t="s">
        <v>238</v>
      </c>
      <c r="G6" s="315"/>
      <c r="H6" s="315"/>
      <c r="I6" s="182"/>
    </row>
    <row r="7" spans="1:9" x14ac:dyDescent="0.25">
      <c r="A7" s="118">
        <f>Underlagskalkyl!C4</f>
        <v>0</v>
      </c>
      <c r="E7" s="120"/>
      <c r="F7" s="94" t="str">
        <f>Underlagskalkyl!F4</f>
        <v>Tomt 2 - Horndalsgränd</v>
      </c>
      <c r="I7" s="119"/>
    </row>
    <row r="8" spans="1:9" x14ac:dyDescent="0.25">
      <c r="A8" s="124">
        <f>Underlagskalkyl!C5</f>
        <v>0</v>
      </c>
      <c r="B8" s="125"/>
      <c r="C8" s="125"/>
      <c r="D8" s="125" t="s">
        <v>9</v>
      </c>
      <c r="E8" s="126"/>
      <c r="F8" s="125" t="str">
        <f>Bokalkyl!D16</f>
        <v>Borås</v>
      </c>
      <c r="G8" s="155"/>
      <c r="H8" s="155"/>
      <c r="I8" s="126"/>
    </row>
    <row r="9" spans="1:9" x14ac:dyDescent="0.25">
      <c r="A9" s="7" t="s">
        <v>1</v>
      </c>
      <c r="E9" s="119"/>
      <c r="F9" s="171" t="s">
        <v>6</v>
      </c>
      <c r="G9" s="315"/>
      <c r="H9" s="315"/>
      <c r="I9" s="182"/>
    </row>
    <row r="10" spans="1:9" x14ac:dyDescent="0.25">
      <c r="A10" s="124" t="str">
        <f>Underlagskalkyl!A4</f>
        <v xml:space="preserve">Fredrik Palm              </v>
      </c>
      <c r="B10" s="155"/>
      <c r="C10" s="155"/>
      <c r="D10" s="155"/>
      <c r="E10" s="126"/>
      <c r="F10" s="125" t="str">
        <f>Bokalkyl!F16</f>
        <v>Smart 150 - industriell</v>
      </c>
      <c r="G10" s="155"/>
      <c r="H10" s="155"/>
      <c r="I10" s="126"/>
    </row>
    <row r="14" spans="1:9" ht="17.399999999999999" x14ac:dyDescent="0.3">
      <c r="A14" s="316" t="s">
        <v>239</v>
      </c>
    </row>
    <row r="15" spans="1:9" ht="17.399999999999999" x14ac:dyDescent="0.3">
      <c r="A15" s="316" t="s">
        <v>240</v>
      </c>
    </row>
    <row r="16" spans="1:9" ht="17.399999999999999" x14ac:dyDescent="0.3">
      <c r="A16" s="316"/>
    </row>
    <row r="18" spans="1:9" x14ac:dyDescent="0.25">
      <c r="A18" t="s">
        <v>241</v>
      </c>
      <c r="D18" t="s">
        <v>242</v>
      </c>
      <c r="E18" s="139"/>
      <c r="F18" t="s">
        <v>243</v>
      </c>
      <c r="G18" s="317"/>
      <c r="H18" t="s">
        <v>244</v>
      </c>
      <c r="I18" s="318">
        <f>E18*G18</f>
        <v>0</v>
      </c>
    </row>
    <row r="20" spans="1:9" x14ac:dyDescent="0.25">
      <c r="A20" t="s">
        <v>245</v>
      </c>
      <c r="D20" t="s">
        <v>246</v>
      </c>
      <c r="E20" s="139">
        <v>0</v>
      </c>
      <c r="F20" t="s">
        <v>247</v>
      </c>
      <c r="G20" s="317">
        <v>0</v>
      </c>
      <c r="H20" t="s">
        <v>244</v>
      </c>
      <c r="I20" s="319">
        <f>E20*G20</f>
        <v>0</v>
      </c>
    </row>
    <row r="21" spans="1:9" x14ac:dyDescent="0.25">
      <c r="A21" t="s">
        <v>248</v>
      </c>
      <c r="E21" s="139">
        <v>0</v>
      </c>
      <c r="F21" t="s">
        <v>247</v>
      </c>
      <c r="G21" s="317">
        <v>0</v>
      </c>
      <c r="I21" s="319">
        <f>E21*G21</f>
        <v>0</v>
      </c>
    </row>
    <row r="22" spans="1:9" x14ac:dyDescent="0.25">
      <c r="E22" s="94"/>
      <c r="G22" s="320"/>
      <c r="I22" s="321"/>
    </row>
    <row r="23" spans="1:9" x14ac:dyDescent="0.25">
      <c r="A23" t="s">
        <v>249</v>
      </c>
      <c r="E23" s="94"/>
      <c r="G23" s="320"/>
      <c r="I23" s="322">
        <v>0</v>
      </c>
    </row>
    <row r="25" spans="1:9" x14ac:dyDescent="0.25">
      <c r="A25" t="s">
        <v>250</v>
      </c>
      <c r="I25" s="322">
        <v>0</v>
      </c>
    </row>
    <row r="27" spans="1:9" x14ac:dyDescent="0.25">
      <c r="A27" t="s">
        <v>251</v>
      </c>
      <c r="I27" s="322">
        <v>0</v>
      </c>
    </row>
    <row r="29" spans="1:9" x14ac:dyDescent="0.25">
      <c r="A29" t="s">
        <v>252</v>
      </c>
      <c r="I29" s="322">
        <v>0</v>
      </c>
    </row>
    <row r="31" spans="1:9" x14ac:dyDescent="0.25">
      <c r="A31" t="s">
        <v>253</v>
      </c>
      <c r="I31" s="319">
        <f>SUM(I18:I30)</f>
        <v>0</v>
      </c>
    </row>
    <row r="33" spans="1:9" ht="15.6" x14ac:dyDescent="0.3">
      <c r="A33" s="323" t="s">
        <v>254</v>
      </c>
      <c r="I33" s="324">
        <f>ROUND(I31+400,-3)</f>
        <v>0</v>
      </c>
    </row>
    <row r="35" spans="1:9" ht="15.6" x14ac:dyDescent="0.3">
      <c r="A35" s="323" t="s">
        <v>255</v>
      </c>
      <c r="I35" s="325">
        <v>0</v>
      </c>
    </row>
    <row r="37" spans="1:9" x14ac:dyDescent="0.25">
      <c r="A37" s="296" t="s">
        <v>256</v>
      </c>
    </row>
    <row r="41" spans="1:9" x14ac:dyDescent="0.25">
      <c r="A41" s="155"/>
      <c r="B41" s="155"/>
      <c r="C41" s="155"/>
    </row>
    <row r="42" spans="1:9" x14ac:dyDescent="0.25">
      <c r="A42" s="94" t="str">
        <f>A10</f>
        <v xml:space="preserve">Fredrik Palm              </v>
      </c>
    </row>
    <row r="44" spans="1:9" x14ac:dyDescent="0.25">
      <c r="A44" s="148" t="s">
        <v>257</v>
      </c>
    </row>
    <row r="45" spans="1:9" x14ac:dyDescent="0.25">
      <c r="A45" s="296"/>
    </row>
    <row r="46" spans="1:9" x14ac:dyDescent="0.25">
      <c r="A46" s="296"/>
    </row>
    <row r="47" spans="1:9" x14ac:dyDescent="0.25">
      <c r="A47" s="296"/>
    </row>
    <row r="48" spans="1:9" x14ac:dyDescent="0.25">
      <c r="A48" s="296"/>
    </row>
    <row r="49" spans="1:1" x14ac:dyDescent="0.25">
      <c r="A49" s="296"/>
    </row>
    <row r="50" spans="1:1" x14ac:dyDescent="0.25">
      <c r="A50" s="296"/>
    </row>
    <row r="51" spans="1:1" x14ac:dyDescent="0.25">
      <c r="A51" s="298" t="str">
        <f>Underlagskalkyl!A54</f>
        <v>2024-07-04 (2019-02-05 BP)</v>
      </c>
    </row>
  </sheetData>
  <sheetProtection password="C74E" sheet="1" objects="1" scenarios="1"/>
  <pageMargins left="0.74791666666666667" right="0.74791666666666667" top="0.98402777777777772" bottom="0.98402777777777772" header="0.51180555555555551" footer="0.51180555555555551"/>
  <pageSetup paperSize="9" scale="91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90BA-E1E4-4A2A-A950-2154F531CFFB}">
  <dimension ref="A1:AF55"/>
  <sheetViews>
    <sheetView showGridLines="0" showZeros="0" workbookViewId="0">
      <selection activeCell="B27" sqref="B27"/>
    </sheetView>
  </sheetViews>
  <sheetFormatPr defaultRowHeight="13.2" x14ac:dyDescent="0.25"/>
  <cols>
    <col min="1" max="1" width="10" customWidth="1"/>
    <col min="2" max="2" width="9.44140625" customWidth="1"/>
    <col min="3" max="7" width="13.6640625" customWidth="1"/>
    <col min="9" max="9" width="11.109375" customWidth="1"/>
  </cols>
  <sheetData>
    <row r="1" spans="1:19" x14ac:dyDescent="0.25">
      <c r="A1" s="94"/>
      <c r="B1" s="94"/>
      <c r="C1" s="94"/>
      <c r="D1" s="94"/>
      <c r="E1" s="94"/>
      <c r="F1" s="94"/>
      <c r="G1" s="94"/>
      <c r="P1" s="94"/>
      <c r="Q1" s="94"/>
      <c r="R1" s="94"/>
      <c r="S1" s="94"/>
    </row>
    <row r="2" spans="1:19" ht="12.75" customHeight="1" x14ac:dyDescent="0.25">
      <c r="A2" s="94"/>
      <c r="B2" s="94"/>
      <c r="C2" s="94"/>
      <c r="D2" s="94"/>
      <c r="E2" s="94"/>
      <c r="F2" s="94"/>
      <c r="H2" s="94"/>
      <c r="I2" s="94"/>
      <c r="P2" s="94"/>
      <c r="Q2" s="94"/>
      <c r="R2" s="94"/>
      <c r="S2" s="94"/>
    </row>
    <row r="3" spans="1:19" x14ac:dyDescent="0.25">
      <c r="G3" s="299" t="s">
        <v>4</v>
      </c>
      <c r="H3" s="326">
        <f>Underlagskalkyl!H4</f>
        <v>46097</v>
      </c>
      <c r="I3" s="170"/>
      <c r="J3" s="94"/>
      <c r="P3" s="94"/>
      <c r="Q3" s="94"/>
      <c r="R3" s="94"/>
      <c r="S3" s="94"/>
    </row>
    <row r="4" spans="1:19" x14ac:dyDescent="0.25">
      <c r="P4" s="94"/>
      <c r="Q4" s="94"/>
      <c r="R4" s="94"/>
      <c r="S4" s="94"/>
    </row>
    <row r="5" spans="1:19" x14ac:dyDescent="0.25">
      <c r="J5" s="170"/>
      <c r="P5" s="94"/>
      <c r="Q5" s="94"/>
      <c r="R5" s="94"/>
      <c r="S5" s="94"/>
    </row>
    <row r="6" spans="1:19" x14ac:dyDescent="0.25">
      <c r="P6" s="94"/>
      <c r="Q6" s="94"/>
      <c r="R6" s="94"/>
      <c r="S6" s="94"/>
    </row>
    <row r="7" spans="1:19" x14ac:dyDescent="0.25">
      <c r="P7" s="94"/>
      <c r="Q7" s="94"/>
      <c r="R7" s="94"/>
      <c r="S7" s="94"/>
    </row>
    <row r="8" spans="1:19" x14ac:dyDescent="0.25">
      <c r="G8" s="94"/>
      <c r="P8" s="94"/>
      <c r="Q8" s="94"/>
      <c r="R8" s="94"/>
      <c r="S8" s="94"/>
    </row>
    <row r="9" spans="1:19" ht="17.399999999999999" x14ac:dyDescent="0.3">
      <c r="A9" s="165" t="s">
        <v>203</v>
      </c>
      <c r="B9" s="94"/>
      <c r="C9" s="94"/>
      <c r="D9" s="94"/>
      <c r="E9" s="94"/>
      <c r="F9" s="94"/>
      <c r="G9" s="94"/>
      <c r="H9" s="94"/>
      <c r="I9" s="94"/>
      <c r="P9" s="94"/>
      <c r="Q9" s="94"/>
      <c r="R9" s="94"/>
      <c r="S9" s="94"/>
    </row>
    <row r="10" spans="1:19" x14ac:dyDescent="0.25">
      <c r="A10" s="94"/>
      <c r="B10" s="94"/>
      <c r="C10" s="94"/>
      <c r="D10" s="94"/>
      <c r="E10" s="94"/>
      <c r="F10" s="94"/>
      <c r="H10" s="94"/>
      <c r="I10" s="94"/>
      <c r="J10" s="94"/>
      <c r="P10" s="94"/>
      <c r="Q10" s="94"/>
      <c r="R10" s="94"/>
      <c r="S10" s="94"/>
    </row>
    <row r="11" spans="1:19" x14ac:dyDescent="0.25">
      <c r="A11" s="175" t="s">
        <v>204</v>
      </c>
      <c r="B11" s="94">
        <f>Underlagskalkyl!C4</f>
        <v>0</v>
      </c>
      <c r="C11" s="94"/>
      <c r="D11" s="94" t="s">
        <v>205</v>
      </c>
      <c r="E11" s="94" t="str">
        <f>Underlagskalkyl!F4</f>
        <v>Tomt 2 - Horndalsgränd</v>
      </c>
      <c r="F11" s="94"/>
      <c r="G11" s="175" t="s">
        <v>206</v>
      </c>
      <c r="H11" s="146">
        <f>Bokalkyl!D18</f>
        <v>2019</v>
      </c>
      <c r="I11" s="94"/>
      <c r="J11" s="94"/>
    </row>
    <row r="12" spans="1:19" x14ac:dyDescent="0.25">
      <c r="A12" s="175" t="s">
        <v>207</v>
      </c>
      <c r="B12" s="94">
        <f>Underlagskalkyl!C5</f>
        <v>0</v>
      </c>
      <c r="C12" s="94"/>
      <c r="D12" s="94" t="s">
        <v>208</v>
      </c>
      <c r="E12" s="94" t="str">
        <f>Underlagskalkyl!F7</f>
        <v>Borås</v>
      </c>
      <c r="F12" s="94"/>
      <c r="G12" s="175" t="s">
        <v>209</v>
      </c>
      <c r="H12" s="146">
        <f>Bokalkyl!E18</f>
        <v>2019</v>
      </c>
      <c r="I12" s="94"/>
      <c r="J12" s="94"/>
    </row>
    <row r="13" spans="1:19" x14ac:dyDescent="0.25">
      <c r="A13" s="175" t="s">
        <v>210</v>
      </c>
      <c r="B13" s="94" t="str">
        <f>Underlagskalkyl!A4</f>
        <v xml:space="preserve">Fredrik Palm              </v>
      </c>
      <c r="C13" s="94"/>
      <c r="D13" s="94"/>
      <c r="E13" s="94"/>
      <c r="F13" s="94"/>
      <c r="G13" s="175" t="s">
        <v>258</v>
      </c>
      <c r="H13" s="178"/>
      <c r="I13" s="300"/>
      <c r="J13" s="94"/>
    </row>
    <row r="14" spans="1:19" x14ac:dyDescent="0.25">
      <c r="A14" s="94"/>
      <c r="B14" s="94"/>
      <c r="C14" s="94"/>
      <c r="D14" s="94" t="s">
        <v>211</v>
      </c>
      <c r="E14" s="94"/>
      <c r="F14" s="301">
        <f>TRUNC(Underlagskalkyl!F51*0.75,-3)</f>
        <v>4431000</v>
      </c>
      <c r="G14" s="175" t="s">
        <v>259</v>
      </c>
      <c r="H14" s="178">
        <v>5.7</v>
      </c>
      <c r="I14" s="300"/>
      <c r="J14" s="300"/>
    </row>
    <row r="15" spans="1:19" x14ac:dyDescent="0.25">
      <c r="C15" s="94"/>
      <c r="D15" s="94"/>
      <c r="E15" s="94"/>
      <c r="F15" s="94"/>
      <c r="G15" s="94"/>
      <c r="H15" s="94"/>
      <c r="I15" s="94"/>
      <c r="J15" s="300"/>
    </row>
    <row r="16" spans="1:19" x14ac:dyDescent="0.25">
      <c r="A16" s="13" t="s">
        <v>212</v>
      </c>
      <c r="B16" s="94" t="str">
        <f>Underlagskalkyl!A7</f>
        <v>Smart 150 - industriell</v>
      </c>
      <c r="C16" s="94"/>
      <c r="D16" s="94" t="s">
        <v>213</v>
      </c>
      <c r="E16" s="94"/>
      <c r="F16" s="94"/>
      <c r="G16" s="94"/>
      <c r="H16" s="94"/>
      <c r="I16" s="94"/>
      <c r="J16" s="94"/>
    </row>
    <row r="17" spans="1:14" x14ac:dyDescent="0.25">
      <c r="A17" s="13" t="s">
        <v>214</v>
      </c>
      <c r="B17" s="94" t="str">
        <f>Underlagskalkyl!C7</f>
        <v>Nej</v>
      </c>
      <c r="C17" s="94"/>
      <c r="D17" s="94" t="s">
        <v>215</v>
      </c>
      <c r="E17" s="94"/>
      <c r="F17" s="94"/>
      <c r="H17" s="94"/>
      <c r="I17" s="94"/>
      <c r="J17" s="94"/>
    </row>
    <row r="18" spans="1:14" x14ac:dyDescent="0.25">
      <c r="A18" s="13" t="s">
        <v>216</v>
      </c>
      <c r="B18" s="302">
        <f>(Underlagskalkyl!F51-Underlagskalkyl!C28-Underlagskalkyl!D28-Underlagskalkyl!E28)/Bokalkyl!C18</f>
        <v>34864.800000000003</v>
      </c>
      <c r="J18" s="94"/>
    </row>
    <row r="19" spans="1:14" x14ac:dyDescent="0.25">
      <c r="A19" t="s">
        <v>217</v>
      </c>
      <c r="D19" t="s">
        <v>9</v>
      </c>
    </row>
    <row r="20" spans="1:14" x14ac:dyDescent="0.25">
      <c r="D20" t="s">
        <v>9</v>
      </c>
      <c r="G20" s="94"/>
    </row>
    <row r="21" spans="1:14" x14ac:dyDescent="0.25">
      <c r="D21" t="s">
        <v>9</v>
      </c>
      <c r="G21" s="94">
        <f>F14*0.0075*0.5</f>
        <v>16616.25</v>
      </c>
    </row>
    <row r="22" spans="1:14" x14ac:dyDescent="0.25">
      <c r="D22" t="s">
        <v>9</v>
      </c>
      <c r="G22" s="94"/>
    </row>
    <row r="23" spans="1:14" x14ac:dyDescent="0.25">
      <c r="G23" s="94"/>
    </row>
    <row r="24" spans="1:14" ht="21" x14ac:dyDescent="0.4">
      <c r="A24" s="303" t="s">
        <v>219</v>
      </c>
      <c r="B24" s="141"/>
      <c r="C24" s="141"/>
      <c r="D24" s="141"/>
      <c r="E24" s="94"/>
      <c r="F24" s="94"/>
      <c r="H24" s="94"/>
      <c r="I24" s="94"/>
    </row>
    <row r="25" spans="1:14" x14ac:dyDescent="0.25">
      <c r="J25" s="94"/>
    </row>
    <row r="26" spans="1:14" x14ac:dyDescent="0.25">
      <c r="A26" s="304"/>
      <c r="B26" s="194">
        <f>Bokalkyl!H8</f>
        <v>2019</v>
      </c>
      <c r="C26" s="194">
        <f>B26+1</f>
        <v>2020</v>
      </c>
      <c r="D26" s="194">
        <f>C26+1</f>
        <v>2021</v>
      </c>
      <c r="E26" s="194">
        <f>D26+1</f>
        <v>2022</v>
      </c>
      <c r="F26" s="194">
        <f>E26+1</f>
        <v>2023</v>
      </c>
      <c r="G26" s="194">
        <f>F26+1</f>
        <v>2024</v>
      </c>
      <c r="H26" s="327" t="s">
        <v>260</v>
      </c>
      <c r="I26" s="306"/>
    </row>
    <row r="27" spans="1:14" x14ac:dyDescent="0.25">
      <c r="A27" s="130" t="s">
        <v>220</v>
      </c>
      <c r="B27" s="307">
        <f>Bokalkyl!G35</f>
        <v>189059.20000000001</v>
      </c>
      <c r="C27" s="307">
        <f>B27</f>
        <v>189059.20000000001</v>
      </c>
      <c r="D27" s="307">
        <f>C27</f>
        <v>189059.20000000001</v>
      </c>
      <c r="E27" s="307">
        <f>D27</f>
        <v>189059.20000000001</v>
      </c>
      <c r="F27" s="307">
        <f>E27</f>
        <v>189059.20000000001</v>
      </c>
      <c r="G27" s="307">
        <f>F27</f>
        <v>189059.20000000001</v>
      </c>
      <c r="H27" s="327">
        <f t="shared" ref="H27:H32" si="0">SUM(B27:G27)</f>
        <v>1134355.2</v>
      </c>
      <c r="I27" s="78"/>
    </row>
    <row r="28" spans="1:14" x14ac:dyDescent="0.25">
      <c r="A28" s="130" t="s">
        <v>221</v>
      </c>
      <c r="B28" s="307">
        <f>Bokalkyl!F35</f>
        <v>128501.17499999999</v>
      </c>
      <c r="C28" s="307" t="e">
        <f>(Bokalkyl!$E$29-Bokalkyl!$G$29)*Bokalkyl!$C$22/100+(Bokalkyl!$E$30-Bokalkyl!$G$30)*Bokalkyl!$C$23/100+(Bokalkyl!#REF!-Bokalkyl!#REF!)*Bokalkyl!#REF!/100+(Bokalkyl!$E$32-Bokalkyl!$G$32)*Bokalkyl!$C$24/100+(Bokalkyl!$E$33-Bokalkyl!$G$33)*Bokalkyl!$C$26/100</f>
        <v>#REF!</v>
      </c>
      <c r="D28" s="307" t="e">
        <f>(Bokalkyl!$E$29-2*Bokalkyl!$G$29)*Bokalkyl!$C$22/100+(Bokalkyl!$E$30-2*Bokalkyl!$G$30)*Bokalkyl!$C$23/100+(Bokalkyl!#REF!-2*Bokalkyl!#REF!)*Bokalkyl!#REF!/100+(Bokalkyl!$E$32-2*Bokalkyl!$G$32)*Bokalkyl!$C$24/100+(Bokalkyl!$E$33-2*Bokalkyl!$G$33)*Bokalkyl!$C$26/100</f>
        <v>#REF!</v>
      </c>
      <c r="E28" s="307" t="e">
        <f>(Bokalkyl!$E$29-3*Bokalkyl!$G$29)*Bokalkyl!$C$22/100+(Bokalkyl!$E$30-3*Bokalkyl!$G$30)*Bokalkyl!$C$23/100+(Bokalkyl!#REF!-3*Bokalkyl!#REF!)*Bokalkyl!#REF!/100+(Bokalkyl!$E$32-3*Bokalkyl!$G$32)*Bokalkyl!$C$24/100+(Bokalkyl!$E$33-3*Bokalkyl!$G$33)*Bokalkyl!$C$26/100</f>
        <v>#REF!</v>
      </c>
      <c r="F28" s="307" t="e">
        <f>(Bokalkyl!$E$29-4*Bokalkyl!$G$29)*Bokalkyl!$C$22/100+(Bokalkyl!$E$30-4*Bokalkyl!$G$30)*Bokalkyl!$C$23/100+(Bokalkyl!#REF!-4*Bokalkyl!#REF!)*Bokalkyl!#REF!/100+(Bokalkyl!$E$32-4*Bokalkyl!$G$32)*Bokalkyl!$C$24/100+(Bokalkyl!$E$33-4*Bokalkyl!$G$33)*Bokalkyl!$C$26/100</f>
        <v>#REF!</v>
      </c>
      <c r="G28" s="307" t="e">
        <f>(Bokalkyl!$E$29-5*Bokalkyl!$G$29)*Bokalkyl!$C$22/100+(Bokalkyl!$E$30-5*Bokalkyl!$G$30)*Bokalkyl!$C$23/100+(Bokalkyl!#REF!-5*Bokalkyl!#REF!)*Bokalkyl!#REF!/100+(Bokalkyl!$E$32-5*Bokalkyl!$G$32)*Bokalkyl!$C$24/100+(Bokalkyl!$E$33-5*Bokalkyl!$G$33)*Bokalkyl!$C$26/100</f>
        <v>#REF!</v>
      </c>
      <c r="H28" s="327" t="e">
        <f t="shared" si="0"/>
        <v>#REF!</v>
      </c>
      <c r="I28" s="78"/>
    </row>
    <row r="29" spans="1:14" x14ac:dyDescent="0.25">
      <c r="A29" s="130" t="s">
        <v>222</v>
      </c>
      <c r="B29" s="307">
        <f>Bokalkyl!H40</f>
        <v>0</v>
      </c>
      <c r="C29" s="307">
        <f>B29+B29*D38/100</f>
        <v>0</v>
      </c>
      <c r="D29" s="307">
        <f>C29+C29*D38/100</f>
        <v>0</v>
      </c>
      <c r="E29" s="307">
        <f>D29+D38*D29/100</f>
        <v>0</v>
      </c>
      <c r="F29" s="307">
        <f>E29+E29*D38/100</f>
        <v>0</v>
      </c>
      <c r="G29" s="307">
        <f>F29+F29*D38/100</f>
        <v>0</v>
      </c>
      <c r="H29" s="327">
        <f t="shared" si="0"/>
        <v>0</v>
      </c>
      <c r="I29" s="78"/>
      <c r="J29" t="s">
        <v>9</v>
      </c>
    </row>
    <row r="30" spans="1:14" x14ac:dyDescent="0.25">
      <c r="A30" s="130" t="s">
        <v>225</v>
      </c>
      <c r="B30" s="307"/>
      <c r="C30" s="307"/>
      <c r="D30" s="307"/>
      <c r="E30" s="307"/>
      <c r="F30" s="307"/>
      <c r="G30" s="146">
        <f>G21</f>
        <v>16616.25</v>
      </c>
      <c r="H30" s="327">
        <f t="shared" si="0"/>
        <v>16616.25</v>
      </c>
      <c r="I30" s="78"/>
      <c r="N30" s="300"/>
    </row>
    <row r="31" spans="1:14" x14ac:dyDescent="0.25">
      <c r="A31" s="172" t="s">
        <v>226</v>
      </c>
      <c r="B31" s="307">
        <f>-Bokalkyl!H44</f>
        <v>-38550</v>
      </c>
      <c r="C31" s="307" t="e">
        <f>-C28*0.3</f>
        <v>#REF!</v>
      </c>
      <c r="D31" s="307" t="e">
        <f>-D28*0.3</f>
        <v>#REF!</v>
      </c>
      <c r="E31" s="307" t="e">
        <f>-E28*0.3</f>
        <v>#REF!</v>
      </c>
      <c r="F31" s="307" t="e">
        <f>-F28*0.3</f>
        <v>#REF!</v>
      </c>
      <c r="G31" s="307" t="e">
        <f>-G28*0.3</f>
        <v>#REF!</v>
      </c>
      <c r="H31" s="327" t="e">
        <f t="shared" si="0"/>
        <v>#REF!</v>
      </c>
      <c r="I31" s="78"/>
      <c r="N31" s="300"/>
    </row>
    <row r="32" spans="1:14" x14ac:dyDescent="0.25">
      <c r="A32" s="172" t="s">
        <v>228</v>
      </c>
      <c r="B32" s="307">
        <f t="shared" ref="B32:G32" si="1">SUM(B27:B31)</f>
        <v>279010.375</v>
      </c>
      <c r="C32" s="307" t="e">
        <f t="shared" si="1"/>
        <v>#REF!</v>
      </c>
      <c r="D32" s="307" t="e">
        <f t="shared" si="1"/>
        <v>#REF!</v>
      </c>
      <c r="E32" s="307" t="e">
        <f t="shared" si="1"/>
        <v>#REF!</v>
      </c>
      <c r="F32" s="307" t="e">
        <f t="shared" si="1"/>
        <v>#REF!</v>
      </c>
      <c r="G32" s="307" t="e">
        <f t="shared" si="1"/>
        <v>#REF!</v>
      </c>
      <c r="H32" s="327" t="e">
        <f t="shared" si="0"/>
        <v>#REF!</v>
      </c>
      <c r="I32" s="78"/>
      <c r="K32" s="308"/>
      <c r="L32" s="94"/>
    </row>
    <row r="33" spans="1:32" x14ac:dyDescent="0.25">
      <c r="A33" s="172" t="s">
        <v>229</v>
      </c>
      <c r="B33" s="307">
        <f t="shared" ref="B33:G33" si="2">B32/12</f>
        <v>23250.864583333332</v>
      </c>
      <c r="C33" s="307" t="e">
        <f t="shared" si="2"/>
        <v>#REF!</v>
      </c>
      <c r="D33" s="307" t="e">
        <f t="shared" si="2"/>
        <v>#REF!</v>
      </c>
      <c r="E33" s="307" t="e">
        <f t="shared" si="2"/>
        <v>#REF!</v>
      </c>
      <c r="F33" s="307" t="e">
        <f t="shared" si="2"/>
        <v>#REF!</v>
      </c>
      <c r="G33" s="307" t="e">
        <f t="shared" si="2"/>
        <v>#REF!</v>
      </c>
      <c r="H33" s="328"/>
      <c r="I33" s="78"/>
      <c r="AF33" s="94"/>
    </row>
    <row r="34" spans="1:32" x14ac:dyDescent="0.25">
      <c r="A34" s="249" t="s">
        <v>230</v>
      </c>
      <c r="B34" s="309"/>
      <c r="C34" s="329" t="e">
        <f>(C33-B33)/100</f>
        <v>#REF!</v>
      </c>
      <c r="D34" s="329" t="e">
        <f>(D33-C33)/100</f>
        <v>#REF!</v>
      </c>
      <c r="E34" s="329" t="e">
        <f>(E33-D33)/100</f>
        <v>#REF!</v>
      </c>
      <c r="F34" s="329" t="e">
        <f>(F33-E33)/100</f>
        <v>#REF!</v>
      </c>
      <c r="G34" s="329" t="e">
        <f>(G33-F33)/100</f>
        <v>#REF!</v>
      </c>
      <c r="H34" s="328"/>
      <c r="I34" s="78"/>
    </row>
    <row r="35" spans="1:32" x14ac:dyDescent="0.25">
      <c r="A35" s="217" t="s">
        <v>231</v>
      </c>
      <c r="B35" s="237" t="e">
        <f>B32/(Bokalkyl!$D$11+Bokalkyl!$D$13)*100</f>
        <v>#DIV/0!</v>
      </c>
      <c r="C35" s="237" t="e">
        <f>C32/((1+$D$39/100)*(Bokalkyl!$D$11+Bokalkyl!$D$13))*100</f>
        <v>#REF!</v>
      </c>
      <c r="D35" s="237" t="e">
        <f>D32/((1+2*$D$39/100)*(Bokalkyl!$D$11+Bokalkyl!$D$13))*100</f>
        <v>#REF!</v>
      </c>
      <c r="E35" s="237" t="e">
        <f>E32/((1+3*$D$39/100)*(Bokalkyl!$D$11+Bokalkyl!$D$13))*100</f>
        <v>#REF!</v>
      </c>
      <c r="F35" s="237" t="e">
        <f>F32/((1+4*$D$39/100)*(Bokalkyl!$D$11+Bokalkyl!$D$13))*100</f>
        <v>#REF!</v>
      </c>
      <c r="G35" s="237" t="e">
        <f>G32/((1+5*$D$39/100)*(Bokalkyl!$D$11+Bokalkyl!$D$13))*100</f>
        <v>#REF!</v>
      </c>
      <c r="H35" s="328"/>
      <c r="I35" s="78"/>
    </row>
    <row r="36" spans="1:32" x14ac:dyDescent="0.25">
      <c r="H36" s="78"/>
      <c r="I36" s="78"/>
      <c r="L36" s="94"/>
    </row>
    <row r="37" spans="1:32" x14ac:dyDescent="0.25">
      <c r="A37" s="94"/>
      <c r="B37" s="94"/>
      <c r="C37" s="94"/>
      <c r="D37" s="94"/>
      <c r="E37" s="94"/>
      <c r="F37" s="94"/>
      <c r="G37" s="94"/>
    </row>
    <row r="38" spans="1:32" x14ac:dyDescent="0.25">
      <c r="A38" s="295" t="s">
        <v>233</v>
      </c>
      <c r="C38" s="94"/>
      <c r="D38" s="311">
        <v>3</v>
      </c>
      <c r="E38" s="94"/>
      <c r="F38" s="94"/>
      <c r="G38" s="94"/>
      <c r="I38" s="94"/>
    </row>
    <row r="39" spans="1:32" x14ac:dyDescent="0.25">
      <c r="A39" s="295" t="s">
        <v>232</v>
      </c>
      <c r="C39" s="94"/>
      <c r="D39" s="311">
        <v>4</v>
      </c>
      <c r="F39" s="94"/>
      <c r="G39" s="94"/>
      <c r="H39" s="94"/>
      <c r="I39" s="94"/>
      <c r="J39" s="94"/>
    </row>
    <row r="40" spans="1:32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</row>
    <row r="41" spans="1:32" x14ac:dyDescent="0.25">
      <c r="A41" s="94" t="s">
        <v>234</v>
      </c>
      <c r="B41" s="94"/>
      <c r="C41" s="94"/>
      <c r="D41" s="94"/>
      <c r="E41" s="94"/>
      <c r="F41" s="94"/>
      <c r="G41" s="94"/>
      <c r="H41" s="94"/>
      <c r="I41" s="94"/>
      <c r="J41" s="94"/>
    </row>
    <row r="42" spans="1:32" x14ac:dyDescent="0.25">
      <c r="A42" s="94" t="s">
        <v>270</v>
      </c>
      <c r="B42" s="94"/>
      <c r="C42" s="94"/>
      <c r="D42" s="94"/>
      <c r="E42" s="94"/>
      <c r="F42" s="94"/>
      <c r="G42" s="94"/>
      <c r="H42" s="94"/>
      <c r="I42" s="94"/>
      <c r="J42" s="94"/>
    </row>
    <row r="43" spans="1:32" x14ac:dyDescent="0.25">
      <c r="A43" t="s">
        <v>269</v>
      </c>
      <c r="B43" s="94"/>
      <c r="C43" s="94"/>
      <c r="D43" s="94"/>
      <c r="E43" s="94"/>
      <c r="F43" s="94"/>
      <c r="H43" s="94"/>
      <c r="I43" s="94"/>
      <c r="J43" s="94"/>
    </row>
    <row r="44" spans="1:32" x14ac:dyDescent="0.25">
      <c r="A44" s="94" t="s">
        <v>264</v>
      </c>
      <c r="B44" s="94"/>
      <c r="C44" s="94"/>
      <c r="D44" s="94"/>
      <c r="E44" s="94"/>
      <c r="F44" s="94"/>
      <c r="H44" s="94"/>
      <c r="I44" s="94"/>
      <c r="J44" s="94"/>
    </row>
    <row r="45" spans="1:32" x14ac:dyDescent="0.25">
      <c r="A45" s="94" t="s">
        <v>261</v>
      </c>
      <c r="B45" s="94"/>
      <c r="C45" s="94"/>
      <c r="D45" s="94"/>
      <c r="E45" s="94"/>
      <c r="F45" s="94"/>
      <c r="H45" s="94"/>
      <c r="I45" s="94"/>
      <c r="J45" s="94"/>
    </row>
    <row r="46" spans="1:32" x14ac:dyDescent="0.25">
      <c r="A46" s="94" t="s">
        <v>262</v>
      </c>
      <c r="B46" s="94"/>
      <c r="C46" s="94"/>
      <c r="D46" s="94"/>
      <c r="E46" s="94"/>
      <c r="F46" s="94"/>
      <c r="H46" s="94"/>
      <c r="I46" s="94"/>
      <c r="J46" s="94"/>
    </row>
    <row r="47" spans="1:32" x14ac:dyDescent="0.25">
      <c r="A47" s="94"/>
      <c r="B47" s="94"/>
      <c r="C47" s="94"/>
      <c r="D47" s="94"/>
      <c r="E47" s="94"/>
      <c r="F47" s="94"/>
      <c r="H47" s="94"/>
      <c r="I47" s="94"/>
      <c r="J47" s="94"/>
    </row>
    <row r="48" spans="1:32" x14ac:dyDescent="0.25">
      <c r="A48" s="94"/>
      <c r="H48" s="298"/>
      <c r="I48" s="298"/>
      <c r="J48" s="94"/>
    </row>
    <row r="50" spans="1:10" x14ac:dyDescent="0.25">
      <c r="A50" s="147" t="str">
        <f>Bokalkyl!A59</f>
        <v>2024-07-04 (2019-02-05 BP)</v>
      </c>
      <c r="G50" s="94"/>
    </row>
    <row r="51" spans="1:10" x14ac:dyDescent="0.25">
      <c r="A51" s="94"/>
      <c r="B51" s="94"/>
      <c r="C51" s="94"/>
      <c r="D51" s="94"/>
      <c r="E51" s="94"/>
      <c r="F51" s="94"/>
      <c r="G51" s="94"/>
      <c r="H51" s="94"/>
      <c r="I51" s="94"/>
    </row>
    <row r="52" spans="1:10" x14ac:dyDescent="0.25">
      <c r="A52" s="94"/>
      <c r="B52" s="94"/>
      <c r="C52" s="94"/>
      <c r="D52" s="94"/>
      <c r="E52" s="94"/>
      <c r="F52" s="94"/>
      <c r="G52" s="94"/>
      <c r="H52" s="94"/>
      <c r="I52" s="94"/>
      <c r="J52" s="94"/>
    </row>
    <row r="53" spans="1:10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</row>
    <row r="54" spans="1:10" x14ac:dyDescent="0.25">
      <c r="J54" s="94"/>
    </row>
    <row r="55" spans="1:10" x14ac:dyDescent="0.25">
      <c r="J55" s="94"/>
    </row>
  </sheetData>
  <sheetProtection password="C74E" sheet="1" objects="1" scenarios="1"/>
  <pageMargins left="0.74791666666666667" right="0.24027777777777778" top="0.55972222222222223" bottom="0.98402777777777772" header="0.51180555555555551" footer="0.51180555555555551"/>
  <pageSetup paperSize="9" scale="87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5</vt:i4>
      </vt:variant>
    </vt:vector>
  </HeadingPairs>
  <TitlesOfParts>
    <vt:vector size="12" baseType="lpstr">
      <vt:lpstr>Underlagskalkyl</vt:lpstr>
      <vt:lpstr>Spec total</vt:lpstr>
      <vt:lpstr>Spec_uppdelad</vt:lpstr>
      <vt:lpstr>Blad1</vt:lpstr>
      <vt:lpstr>Bokalkyl</vt:lpstr>
      <vt:lpstr>Driftkostnad</vt:lpstr>
      <vt:lpstr>Analys</vt:lpstr>
      <vt:lpstr>Analys!Utskriftsområde</vt:lpstr>
      <vt:lpstr>Bokalkyl!Utskriftsområde</vt:lpstr>
      <vt:lpstr>'Spec total'!Utskriftsområde</vt:lpstr>
      <vt:lpstr>Spec_uppdelad!Utskriftsområde</vt:lpstr>
      <vt:lpstr>Underlagskalkyl!Utskriftsområde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</dc:creator>
  <cp:lastModifiedBy>Fredrik Palm</cp:lastModifiedBy>
  <cp:lastPrinted>2025-08-14T08:57:26Z</cp:lastPrinted>
  <dcterms:created xsi:type="dcterms:W3CDTF">2012-12-19T10:00:16Z</dcterms:created>
  <dcterms:modified xsi:type="dcterms:W3CDTF">2026-03-16T15:14:38Z</dcterms:modified>
</cp:coreProperties>
</file>